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94" yWindow="188" windowWidth="9880" windowHeight="7288" activeTab="0"/>
  </bookViews>
  <sheets>
    <sheet name="Sheet 1" sheetId="1" r:id="rId1"/>
  </sheets>
  <definedNames/>
  <calcPr fullCalcOnLoad="1"/>
</workbook>
</file>

<file path=xl/comments1.xml><?xml version="1.0" encoding="utf-8"?>
<comments xmlns="http://schemas.openxmlformats.org/spreadsheetml/2006/main">
  <authors>
    <author>Reviewer</author>
    <author>whopkins</author>
    <author>Will Hopkins</author>
    <author>Will</author>
  </authors>
  <commentList>
    <comment ref="D113" authorId="0">
      <text>
        <r>
          <rPr>
            <sz val="8"/>
            <rFont val="Tahoma"/>
            <family val="2"/>
          </rPr>
          <t>The typical error in raw units divided by the SD of the values of the criterion predicted by the practical (but evaluated via the correlation coefficient, to allow estimation of confidence limits)  Interpret using half the thresholds of the modified Cohen scale: &lt;0.1, trivial; 0.1-0.3, small; 0.3-0.6, moderate; 0.6-1.0, large; 1.0-2.0, very large; &gt;2.0, extremely large.</t>
        </r>
      </text>
    </comment>
    <comment ref="B18" authorId="0">
      <text>
        <r>
          <rPr>
            <b/>
            <sz val="8"/>
            <rFont val="Tahoma"/>
            <family val="2"/>
          </rPr>
          <t>Reviewer:</t>
        </r>
        <r>
          <rPr>
            <sz val="8"/>
            <rFont val="Tahoma"/>
            <family val="2"/>
          </rPr>
          <t xml:space="preserve">
Do not copy and insert rows at this row.  Start below it.</t>
        </r>
      </text>
    </comment>
    <comment ref="D93" authorId="0">
      <text>
        <r>
          <rPr>
            <sz val="8"/>
            <rFont val="Tahoma"/>
            <family val="2"/>
          </rPr>
          <t>The mean bias divided by the SD of the criterion (not the SD of the predicted criterion).  Interpret using the modified Cohen scale: &lt;0.20, trivial; 0.2-0.6, small; 0.6-1.2, moderate; 1.2-2.0, large; 2.0-4.0, very large; &gt;4.0, extremely large.
The confidence limits are approximate, as they do not take into account uncertainty in the SD of the criterion.</t>
        </r>
      </text>
    </comment>
    <comment ref="D99" authorId="0">
      <text>
        <r>
          <rPr>
            <sz val="8"/>
            <rFont val="Tahoma"/>
            <family val="2"/>
          </rPr>
          <t>The SD of bias divided by the SD of the criterion.  Interpret using half the thresholds of the modified Cohen scale: &lt;0.1, trivial; 0.1-0.3, small; 0.3-0.6, moderate; 0.6-1.0, large; 1.0-2.0, very large; &gt;2.0, extremely large.
The confidence limits are approximate, as they do not take into account uncertainty in the SD of the criterion.</t>
        </r>
      </text>
    </comment>
    <comment ref="H3" authorId="1">
      <text>
        <r>
          <rPr>
            <sz val="8"/>
            <rFont val="Tahoma"/>
            <family val="2"/>
          </rPr>
          <t>Updated statistics for overall bias: the mean and SD of practical minus criterion.
Also corrected several minor typos.</t>
        </r>
      </text>
    </comment>
    <comment ref="G3" authorId="2">
      <text>
        <r>
          <rPr>
            <sz val="8"/>
            <rFont val="Tahoma"/>
            <family val="2"/>
          </rPr>
          <t>Sept: added smallest important differences and comment about magnitude of standardized typical error of the estimate.
Jun: cosmetic updates.</t>
        </r>
      </text>
    </comment>
    <comment ref="E2" authorId="0">
      <text>
        <r>
          <rPr>
            <sz val="8"/>
            <rFont val="Tahoma"/>
            <family val="2"/>
          </rPr>
          <t>Hopkins WG (2015). Spreadsheets for analysis of validity and reliability. Sportscience 19, 36-42 (sportsci.org/2015/ValidRely.htm)</t>
        </r>
      </text>
    </comment>
    <comment ref="D103" authorId="2">
      <text>
        <r>
          <rPr>
            <sz val="8"/>
            <rFont val="Tahoma"/>
            <family val="2"/>
          </rPr>
          <t xml:space="preserve">Default is 0.2. Insert 0.6, 1.2 etc. for moderate, large difference etc.  </t>
        </r>
      </text>
    </comment>
    <comment ref="D98" authorId="2">
      <text>
        <r>
          <rPr>
            <sz val="8"/>
            <rFont val="Tahoma"/>
            <family val="2"/>
          </rPr>
          <t xml:space="preserve">This is the SD of the difference between the practical and the criterion. Use it when there is only one fixed criterion value and a sample of different practical values.
</t>
        </r>
      </text>
    </comment>
    <comment ref="D120" authorId="2">
      <text>
        <r>
          <rPr>
            <sz val="8"/>
            <rFont val="Tahoma"/>
            <family val="2"/>
          </rPr>
          <t>The SD of the bias multiplied by 1.96.  The mean bias minus this number through the mean bias plus this number includes 95% of the (practical minus criterion) difference scores. Bland and Altman possibly intended the following practical application: subtract the bias off the practical measurement; if the resulting score is outside the ± limits, then you can consider that there is a "significant" difference. This interpretation does not, of course, take into account smallest important difference.</t>
        </r>
      </text>
    </comment>
    <comment ref="D102" authorId="2">
      <text>
        <r>
          <rPr>
            <sz val="8"/>
            <rFont val="Tahoma"/>
            <family val="2"/>
          </rPr>
          <t>Use standardization only if the data represent a random sample of a population.  If instead the data consist of chosen or imposed values of the practical or criterion, you can't use standardization to define the smallest important difference. But you can insert a value of the smallest important difference in Y (from some other source) to determine its equivalent in X.
Confidence limits for the equivalent smallest important difference in X require complex formulae or bootstrapping.</t>
        </r>
      </text>
    </comment>
    <comment ref="D91" authorId="2">
      <text>
        <r>
          <rPr>
            <sz val="8"/>
            <rFont val="Tahoma"/>
            <family val="0"/>
          </rPr>
          <t>Values for bias are calculated on the assumption that the practical is an estimate of the criterion and has not been transformed with the calibration equation.  If the practical is transformed, individual predicted values are not biased, but the SD of predicted values is less than the SD of the criterion by a factor r, the Pearson correlation.</t>
        </r>
      </text>
    </comment>
    <comment ref="D97" authorId="0">
      <text>
        <r>
          <rPr>
            <sz val="8"/>
            <rFont val="Tahoma"/>
            <family val="2"/>
          </rPr>
          <t>The mean bias divided by the SD of the criterion (not the SD of the predicted criterion).  Interpret using the modified Cohen scale: &lt;0.20, trivial; 0.2-0.6, small; 0.6-1.2, moderate; 1.2-2.0, large; 2.0-4.0, very large; &gt;4.0, extremely large.
The confidence limits are approximate, as they do not take into account uncertainty in the SD of the criterion.</t>
        </r>
      </text>
    </comment>
    <comment ref="L103" authorId="2">
      <text>
        <r>
          <rPr>
            <sz val="8"/>
            <rFont val="Tahoma"/>
            <family val="2"/>
          </rPr>
          <t xml:space="preserve">Default is 0.2. Insert 0.6, 1.2 etc. for moderate, large difference etc.  </t>
        </r>
      </text>
    </comment>
    <comment ref="D95" authorId="2">
      <text>
        <r>
          <rPr>
            <sz val="8"/>
            <rFont val="Tahoma"/>
            <family val="0"/>
          </rPr>
          <t>Values for bias are calculated on the assumption that the practical is an estimate of the criterion and has not been transformed with the calibration equation.  If the practical is transformed, individual predicted values are not biased, but the SD of predicted values is less than the SD of the criterion by a factor r, the Pearson correlation.</t>
        </r>
      </text>
    </comment>
    <comment ref="D106" authorId="2">
      <text>
        <r>
          <rPr>
            <sz val="8"/>
            <rFont val="Tahoma"/>
            <family val="2"/>
          </rPr>
          <t>The difference in the practical required to produce the smallest important difference in the criterion.
Confidence limits overestimate the uncertainty when the smallest important is provided by standardization, because the errors in the SD of the criterion and in the slope are combined conservatively.
Also, if the uncertainty in the slope includes zero (equivalently, the uncertainty in the correlation includes zero) the confidence limits are hard to interpret.</t>
        </r>
      </text>
    </comment>
    <comment ref="L101" authorId="0">
      <text>
        <r>
          <rPr>
            <sz val="8"/>
            <rFont val="Tahoma"/>
            <family val="2"/>
          </rPr>
          <t>The SD of bias divided by the SD of the criterion.  Interpret using half the thresholds of the modified Cohen scale: &lt;0.1, trivial; 0.1-0.3, small; 0.3-0.6, moderate; 0.6-1.0, large; 1.0-2.0, very large; &gt;2.0, extremely large.
The confidence limits are approximate, as they do not take into account uncertainty in the SD of the criterion.</t>
        </r>
      </text>
    </comment>
    <comment ref="L98" authorId="0">
      <text>
        <r>
          <rPr>
            <sz val="8"/>
            <rFont val="Tahoma"/>
            <family val="2"/>
          </rPr>
          <t>The mean bias divided by the SD of the criterion (not the SD of the predicted criterion).  Interpret using the modified Cohen scale: &lt;0.20, trivial; 0.2-0.6, small; 0.6-1.2, moderate; 1.2-2.0, large; 2.0-4.0, very large; &gt;4.0, extremely large.
The confidence limits are approximate, as they do not take into account uncertainty in the SD of the criterion.</t>
        </r>
      </text>
    </comment>
    <comment ref="L94" authorId="0">
      <text>
        <r>
          <rPr>
            <sz val="8"/>
            <rFont val="Tahoma"/>
            <family val="2"/>
          </rPr>
          <t>The mean bias divided by the SD of the criterion (not the SD of the predicted criterion).  Interpret using the modified Cohen scale: &lt;0.20, trivial; 0.2-0.6, small; 0.6-1.2, moderate; 1.2-2.0, large; 2.0-4.0, very large; &gt;4.0, extremely large.
The confidence limits are approximate, as they do not take into account uncertainty in the SD of the criterion.</t>
        </r>
      </text>
    </comment>
    <comment ref="L91" authorId="2">
      <text>
        <r>
          <rPr>
            <sz val="8"/>
            <rFont val="Tahoma"/>
            <family val="0"/>
          </rPr>
          <t>Values for bias are calculated on the assumption that the practical is an estimate of the criterion and has not been transformed with the calibration equation.  If the practical is transformed, individual predicted values are not biased, but the SD of predicted values is less than the SD of the criterion by a factor r, the Pearson correlation.</t>
        </r>
      </text>
    </comment>
    <comment ref="L95" authorId="2">
      <text>
        <r>
          <rPr>
            <sz val="8"/>
            <rFont val="Tahoma"/>
            <family val="0"/>
          </rPr>
          <t>Values for bias are calculated on the assumption that the practical is an estimate of the criterion and has not been transformed with the calibration equation.  If the practical is transformed, individual predicted values are not biased, but the SD of predicted values is less than the SD of the criterion by a factor r, the Pearson correlation.</t>
        </r>
      </text>
    </comment>
    <comment ref="L114" authorId="0">
      <text>
        <r>
          <rPr>
            <sz val="8"/>
            <rFont val="Tahoma"/>
            <family val="2"/>
          </rPr>
          <t>The typical error in raw units divided by the SD of the values of the criterion predicted by the practical (but evaluated via the correlation coefficient, to allow estimation of confidence limits)  Interpret using half the thresholds of the modified Cohen scale: &lt;0.1, trivial; 0.1-0.3, small; 0.3-0.6, moderate; 0.6-1.0, large; 1.0-2.0, very large; &gt;2.0, extremely large.</t>
        </r>
      </text>
    </comment>
    <comment ref="L102" authorId="2">
      <text>
        <r>
          <rPr>
            <sz val="8"/>
            <rFont val="Tahoma"/>
            <family val="2"/>
          </rPr>
          <t>Use standardization only if the data represent a random sample of a population.  If instead the data consist of chosen or imposed values of the practical or criterion, you can't use standardization to define the smallest important difference. But you can insert a value of the smallest important difference in Y (from some other source) to determine its equivalent in X.
Confidence limits for the equivalent smallest important difference in X require complex formulae or bootstrapping.</t>
        </r>
      </text>
    </comment>
    <comment ref="F3" authorId="2">
      <text>
        <r>
          <rPr>
            <sz val="8"/>
            <rFont val="Tahoma"/>
            <family val="2"/>
          </rPr>
          <t>Feb: updated smallest importants, and rejigged some formulae involving log transformation to make them more systematic and easier to follow.</t>
        </r>
      </text>
    </comment>
    <comment ref="L108" authorId="3">
      <text>
        <r>
          <rPr>
            <sz val="9"/>
            <rFont val="Tahoma"/>
            <family val="0"/>
          </rPr>
          <t>The difference in the practical required to produce the smallest important difference in the criterion.
Confidence limits overestimate the uncertainty when the smallest important is provided by standardization, because the errors in the SD of the criterion and in the slope are combined conservatively.
Also, if the uncertainty in b includes zero (equivalently, the uncertainty in the correlation includes zero), the confidence limits are hard to interpret.</t>
        </r>
      </text>
    </comment>
    <comment ref="L109" authorId="3">
      <text>
        <r>
          <rPr>
            <sz val="9"/>
            <rFont val="Tahoma"/>
            <family val="2"/>
          </rPr>
          <t>The difference in the practical required to produce the smallest important difference in the criterion.
Confidence limits overestimate the uncertainty when the smallest important is provided by standardization, because the errors in the SD of the criterion and in the slope are combined conservatively.
Also, if the uncertainty in b includes zero (equivalently, the uncertainty in the correlation includes zero), the confidence limits are hard to interpret.</t>
        </r>
      </text>
    </comment>
    <comment ref="E3" authorId="2">
      <text>
        <r>
          <rPr>
            <sz val="8"/>
            <rFont val="Tahoma"/>
            <family val="2"/>
          </rPr>
          <t>Feb: added confidence limits for smallest importants of the practical.</t>
        </r>
      </text>
    </comment>
  </commentList>
</comments>
</file>

<file path=xl/sharedStrings.xml><?xml version="1.0" encoding="utf-8"?>
<sst xmlns="http://schemas.openxmlformats.org/spreadsheetml/2006/main" count="225" uniqueCount="143">
  <si>
    <t>Mean</t>
  </si>
  <si>
    <t>SD</t>
  </si>
  <si>
    <t>X (practical)</t>
  </si>
  <si>
    <t>Raw data</t>
  </si>
  <si>
    <t>ANALYSIS OF VALIDITY BY LINEAR REGRESSION</t>
  </si>
  <si>
    <t>intercept</t>
  </si>
  <si>
    <t>slope</t>
  </si>
  <si>
    <t>predicted</t>
  </si>
  <si>
    <t>residual</t>
  </si>
  <si>
    <t>Measures of validity for RAW variables</t>
  </si>
  <si>
    <t>Measures of validity for LOG-TRANSFORMED variables</t>
  </si>
  <si>
    <t>Don't touch any cells with a grey background, other than when you delete or copy-insert whole rows.  These cells contain essential formulae.</t>
  </si>
  <si>
    <t>N</t>
  </si>
  <si>
    <t>Always check your graphs for outliers or non-uniformity of error. The log-transformed variables may show less non-uniformity (but not for these data).</t>
  </si>
  <si>
    <r>
      <t xml:space="preserve">     Double-click on any </t>
    </r>
    <r>
      <rPr>
        <sz val="10"/>
        <color indexed="16"/>
        <rFont val="Arial"/>
        <family val="2"/>
      </rPr>
      <t>red</t>
    </r>
    <r>
      <rPr>
        <sz val="10"/>
        <rFont val="Arial"/>
        <family val="0"/>
      </rPr>
      <t xml:space="preserve"> cell to check that you have done this operation properly.  Colored boxes should enclose all your data.</t>
    </r>
  </si>
  <si>
    <t xml:space="preserve">     (Check that you have generated predicteds and residuals for the new rows, and for the log-transformed data.)</t>
  </si>
  <si>
    <t>a</t>
  </si>
  <si>
    <t>b</t>
  </si>
  <si>
    <t>Lower
CL</t>
  </si>
  <si>
    <t>Upper
CL</t>
  </si>
  <si>
    <r>
      <t>S</t>
    </r>
    <r>
      <rPr>
        <sz val="10"/>
        <rFont val="Arial"/>
        <family val="0"/>
      </rPr>
      <t>X²</t>
    </r>
  </si>
  <si>
    <t>±
CL</t>
  </si>
  <si>
    <t>as a CV (%)</t>
  </si>
  <si>
    <r>
      <t xml:space="preserve">×/÷
</t>
    </r>
    <r>
      <rPr>
        <sz val="10"/>
        <rFont val="Arial"/>
        <family val="2"/>
      </rPr>
      <t>CL</t>
    </r>
  </si>
  <si>
    <t>-</t>
  </si>
  <si>
    <t>For less than 58 pairs, delete or clear the unwanted rows.</t>
  </si>
  <si>
    <t>in raw units</t>
  </si>
  <si>
    <t xml:space="preserve">Calibration equation:
Y = aX^b  </t>
  </si>
  <si>
    <t>standardized</t>
  </si>
  <si>
    <t>prac-crit</t>
  </si>
  <si>
    <t>Pearson correlation</t>
  </si>
  <si>
    <t>Level for confidence limits (%):</t>
  </si>
  <si>
    <t>as a %</t>
  </si>
  <si>
    <r>
      <t xml:space="preserve">Replace the numbers in </t>
    </r>
    <r>
      <rPr>
        <b/>
        <sz val="10"/>
        <color indexed="12"/>
        <rFont val="Arial"/>
        <family val="2"/>
      </rPr>
      <t>blue.</t>
    </r>
    <r>
      <rPr>
        <sz val="10"/>
        <rFont val="Arial"/>
        <family val="2"/>
      </rPr>
      <t xml:space="preserve"> Descriptive and validity stats are in </t>
    </r>
    <r>
      <rPr>
        <b/>
        <sz val="10"/>
        <color indexed="10"/>
        <rFont val="Arial"/>
        <family val="2"/>
      </rPr>
      <t>red.</t>
    </r>
    <r>
      <rPr>
        <sz val="10"/>
        <color indexed="60"/>
        <rFont val="Arial"/>
        <family val="2"/>
      </rPr>
      <t xml:space="preserve">  </t>
    </r>
    <r>
      <rPr>
        <b/>
        <sz val="10"/>
        <rFont val="Arial"/>
        <family val="2"/>
      </rPr>
      <t xml:space="preserve">The most important stats are in </t>
    </r>
    <r>
      <rPr>
        <b/>
        <sz val="10"/>
        <color indexed="10"/>
        <rFont val="Arial"/>
        <family val="2"/>
      </rPr>
      <t>bold.</t>
    </r>
  </si>
  <si>
    <t>as a factor</t>
  </si>
  <si>
    <t>Delete all rows with a missing value for either the criterion or the practical.</t>
  </si>
  <si>
    <t>Alex</t>
  </si>
  <si>
    <t>Alexis</t>
  </si>
  <si>
    <t>Ari</t>
  </si>
  <si>
    <t>Ariel</t>
  </si>
  <si>
    <t>Ashley</t>
  </si>
  <si>
    <t>Aubrey</t>
  </si>
  <si>
    <t>August</t>
  </si>
  <si>
    <t>Austin</t>
  </si>
  <si>
    <t>Avery</t>
  </si>
  <si>
    <t>Bailey</t>
  </si>
  <si>
    <t>Bernie</t>
  </si>
  <si>
    <t>Blake</t>
  </si>
  <si>
    <t>Cameron</t>
  </si>
  <si>
    <t>Casey</t>
  </si>
  <si>
    <t>Cassidy</t>
  </si>
  <si>
    <t>Chris</t>
  </si>
  <si>
    <t>Cimarron</t>
  </si>
  <si>
    <t>Corey</t>
  </si>
  <si>
    <t>Courtney</t>
  </si>
  <si>
    <t>Dakota</t>
  </si>
  <si>
    <t>Dana</t>
  </si>
  <si>
    <t>Devon</t>
  </si>
  <si>
    <t>Drake</t>
  </si>
  <si>
    <t>Drew</t>
  </si>
  <si>
    <t>Dylan</t>
  </si>
  <si>
    <t>Frances</t>
  </si>
  <si>
    <t>Francis</t>
  </si>
  <si>
    <t>Gene</t>
  </si>
  <si>
    <t>Hunter</t>
  </si>
  <si>
    <t>Jaime</t>
  </si>
  <si>
    <t>Jean</t>
  </si>
  <si>
    <t>Jene</t>
  </si>
  <si>
    <t>Jesse</t>
  </si>
  <si>
    <t>Jessie</t>
  </si>
  <si>
    <t>Jo</t>
  </si>
  <si>
    <t>Jordan</t>
  </si>
  <si>
    <t>Kade</t>
  </si>
  <si>
    <t>Kai</t>
  </si>
  <si>
    <t>Kelly</t>
  </si>
  <si>
    <t>Kerry</t>
  </si>
  <si>
    <t>Kim</t>
  </si>
  <si>
    <t>Kylie</t>
  </si>
  <si>
    <t>Lauren</t>
  </si>
  <si>
    <t>Lee</t>
  </si>
  <si>
    <t>Leigh</t>
  </si>
  <si>
    <t>Leslie</t>
  </si>
  <si>
    <t>Lindsay</t>
  </si>
  <si>
    <t>Logan</t>
  </si>
  <si>
    <t>Madison</t>
  </si>
  <si>
    <t>Morgan</t>
  </si>
  <si>
    <t>Pat</t>
  </si>
  <si>
    <t>Reilly</t>
  </si>
  <si>
    <t>Riley</t>
  </si>
  <si>
    <t>Robin</t>
  </si>
  <si>
    <t>Robyn</t>
  </si>
  <si>
    <t>Rory</t>
  </si>
  <si>
    <t>Sage</t>
  </si>
  <si>
    <t>Jody</t>
  </si>
  <si>
    <t>SD as a CV (%)</t>
  </si>
  <si>
    <t>Read me</t>
  </si>
  <si>
    <t>For more than 58 pairs, COPY and INSERT rows anywhere below the first row of data. Do NOT insert at the first row or you will corrupt the calculations.</t>
  </si>
  <si>
    <t xml:space="preserve">Calibration equation:
Y = intercept + slope*X  </t>
  </si>
  <si>
    <t>Estimate</t>
  </si>
  <si>
    <r>
      <t xml:space="preserve">Y
</t>
    </r>
    <r>
      <rPr>
        <sz val="10"/>
        <rFont val="Arial"/>
        <family val="2"/>
      </rPr>
      <t>(criterion)</t>
    </r>
  </si>
  <si>
    <t>Typical error of estimate</t>
  </si>
  <si>
    <t>as a ×/÷ factor</t>
  </si>
  <si>
    <t>Bland-Altman</t>
  </si>
  <si>
    <t>Bias at X value</t>
  </si>
  <si>
    <t>Enter an X value here:</t>
  </si>
  <si>
    <t>Predicted (estimated) Y at X</t>
  </si>
  <si>
    <t>Data shown are body fat (%BM) for DEXA estimate (Y) vs Bod-Pod estimate (X), read from Fig. 1 of Sardinha et al., Am J Clin Nutr 68, 786-793, 1998.</t>
  </si>
  <si>
    <t>Overall bias</t>
  </si>
  <si>
    <t>Mean bias in raw units</t>
  </si>
  <si>
    <t>Mean bias standardized</t>
  </si>
  <si>
    <t>Mean bias as a %</t>
  </si>
  <si>
    <t>Mean bias as a factor</t>
  </si>
  <si>
    <t>SD of bias in raw units</t>
  </si>
  <si>
    <t>SD of bias as a %</t>
  </si>
  <si>
    <t>SD of bias standardized</t>
  </si>
  <si>
    <t>SD of bias as a factor</t>
  </si>
  <si>
    <t xml:space="preserve">The PRRES error is an improved version of the obscure PRESS error.  See the page on validity at newstats.org for more on this rare statistic. </t>
  </si>
  <si>
    <t>Hover cursor for updates:</t>
  </si>
  <si>
    <t>Smallest important difference</t>
  </si>
  <si>
    <t>equivalent in X as a %</t>
  </si>
  <si>
    <t>equivalent in X as a factor</t>
  </si>
  <si>
    <t>SD as a factor</t>
  </si>
  <si>
    <t>100*Log-Transformed Data</t>
  </si>
  <si>
    <t>95% limits of agreement (×/÷ factor)</t>
  </si>
  <si>
    <t>± 95% limits of agreement</t>
  </si>
  <si>
    <r>
      <t xml:space="preserve">You may change cells in </t>
    </r>
    <r>
      <rPr>
        <b/>
        <sz val="10"/>
        <color indexed="20"/>
        <rFont val="Arial"/>
        <family val="2"/>
      </rPr>
      <t>plum</t>
    </r>
    <r>
      <rPr>
        <sz val="10"/>
        <rFont val="Arial"/>
        <family val="2"/>
      </rPr>
      <t xml:space="preserve"> (for smallest important difference), but remember to "control-z" or otherwise undo to restore the formulae in these cells.</t>
    </r>
  </si>
  <si>
    <t>Lower</t>
  </si>
  <si>
    <t>Upper</t>
  </si>
  <si>
    <t>×/÷</t>
  </si>
  <si>
    <t>CL</t>
  </si>
  <si>
    <t>equivalent in X, raw units</t>
  </si>
  <si>
    <t>(for measures in the same units; see comment)</t>
  </si>
  <si>
    <t>or enter a smallest delta Y</t>
  </si>
  <si>
    <t>in Y, standardized</t>
  </si>
  <si>
    <t>equivalent in raw units of Y</t>
  </si>
  <si>
    <t>equivalent in Y as a %</t>
  </si>
  <si>
    <t>equivalent in Y as a factor</t>
  </si>
  <si>
    <t>±CL</t>
  </si>
  <si>
    <t xml:space="preserve">approx. </t>
  </si>
  <si>
    <t>or enter a smallest delta Y as a factor</t>
  </si>
  <si>
    <t>or enter a smallest delta Y as a %</t>
  </si>
  <si>
    <t>Back-transformed mean</t>
  </si>
  <si>
    <t xml:space="preserve">Hover cursor for citation: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</si>
</sst>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
    <numFmt numFmtId="175" formatCode="0.0"/>
    <numFmt numFmtId="176" formatCode="0.000000"/>
    <numFmt numFmtId="177" formatCode="0.00000000000000"/>
    <numFmt numFmtId="178" formatCode="0.0000000000000"/>
    <numFmt numFmtId="179" formatCode="0.000000000000"/>
    <numFmt numFmtId="180" formatCode="0.00000000000"/>
    <numFmt numFmtId="181" formatCode="0.0000000000"/>
    <numFmt numFmtId="182" formatCode="0.000000000"/>
    <numFmt numFmtId="183" formatCode="0.00000000"/>
    <numFmt numFmtId="184" formatCode="0.0000000"/>
  </numFmts>
  <fonts count="60">
    <font>
      <sz val="10"/>
      <name val="Arial"/>
      <family val="0"/>
    </font>
    <font>
      <b/>
      <sz val="11"/>
      <name val="Arial"/>
      <family val="2"/>
    </font>
    <font>
      <sz val="10"/>
      <color indexed="12"/>
      <name val="Arial"/>
      <family val="2"/>
    </font>
    <font>
      <sz val="10"/>
      <color indexed="60"/>
      <name val="Arial"/>
      <family val="2"/>
    </font>
    <font>
      <sz val="11"/>
      <name val="Arial"/>
      <family val="2"/>
    </font>
    <font>
      <sz val="10"/>
      <color indexed="17"/>
      <name val="Arial"/>
      <family val="2"/>
    </font>
    <font>
      <b/>
      <sz val="10"/>
      <name val="Arial"/>
      <family val="2"/>
    </font>
    <font>
      <sz val="10"/>
      <color indexed="16"/>
      <name val="Arial"/>
      <family val="2"/>
    </font>
    <font>
      <b/>
      <sz val="10"/>
      <color indexed="12"/>
      <name val="Arial"/>
      <family val="2"/>
    </font>
    <font>
      <u val="single"/>
      <sz val="10"/>
      <color indexed="12"/>
      <name val="Arial"/>
      <family val="2"/>
    </font>
    <font>
      <u val="single"/>
      <sz val="10"/>
      <color indexed="36"/>
      <name val="Arial"/>
      <family val="2"/>
    </font>
    <font>
      <sz val="10"/>
      <name val="Symbol"/>
      <family val="1"/>
    </font>
    <font>
      <sz val="8"/>
      <name val="Tahoma"/>
      <family val="2"/>
    </font>
    <font>
      <b/>
      <sz val="8"/>
      <name val="Tahoma"/>
      <family val="2"/>
    </font>
    <font>
      <b/>
      <sz val="10"/>
      <color indexed="10"/>
      <name val="Arial"/>
      <family val="2"/>
    </font>
    <font>
      <sz val="10"/>
      <color indexed="10"/>
      <name val="Arial"/>
      <family val="2"/>
    </font>
    <font>
      <b/>
      <sz val="11"/>
      <color indexed="12"/>
      <name val="Arial"/>
      <family val="2"/>
    </font>
    <font>
      <b/>
      <sz val="10"/>
      <color indexed="20"/>
      <name val="Arial"/>
      <family val="2"/>
    </font>
    <font>
      <sz val="8"/>
      <color indexed="8"/>
      <name val="Arial"/>
      <family val="2"/>
    </font>
    <font>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8.5"/>
      <color indexed="8"/>
      <name val="Arial"/>
      <family val="2"/>
    </font>
    <font>
      <b/>
      <sz val="8.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10"/>
      <color rgb="FFFF0000"/>
      <name val="Arial"/>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9">
    <xf numFmtId="0" fontId="0" fillId="0" borderId="0" xfId="0" applyAlignment="1">
      <alignment/>
    </xf>
    <xf numFmtId="0" fontId="0" fillId="0" borderId="0" xfId="0" applyFont="1" applyAlignment="1">
      <alignment/>
    </xf>
    <xf numFmtId="0" fontId="4" fillId="0" borderId="0" xfId="0" applyFont="1" applyAlignment="1">
      <alignment/>
    </xf>
    <xf numFmtId="175" fontId="5" fillId="0" borderId="0" xfId="0" applyNumberFormat="1" applyFont="1" applyAlignment="1">
      <alignment/>
    </xf>
    <xf numFmtId="0" fontId="1" fillId="0" borderId="10" xfId="0" applyFont="1" applyBorder="1" applyAlignment="1">
      <alignment/>
    </xf>
    <xf numFmtId="0" fontId="0" fillId="0" borderId="10" xfId="0" applyBorder="1" applyAlignment="1">
      <alignment/>
    </xf>
    <xf numFmtId="0" fontId="0" fillId="0" borderId="0" xfId="0" applyFont="1" applyAlignment="1">
      <alignment/>
    </xf>
    <xf numFmtId="1" fontId="5" fillId="0" borderId="0" xfId="0" applyNumberFormat="1" applyFont="1" applyAlignment="1">
      <alignment/>
    </xf>
    <xf numFmtId="0" fontId="6" fillId="0" borderId="0" xfId="0" applyFont="1" applyAlignment="1">
      <alignment/>
    </xf>
    <xf numFmtId="2" fontId="2" fillId="0" borderId="0" xfId="0" applyNumberFormat="1" applyFont="1" applyFill="1" applyAlignment="1">
      <alignment horizontal="center"/>
    </xf>
    <xf numFmtId="174" fontId="15" fillId="0" borderId="0" xfId="0" applyNumberFormat="1" applyFont="1" applyFill="1" applyAlignment="1">
      <alignment horizontal="center"/>
    </xf>
    <xf numFmtId="2" fontId="15" fillId="0" borderId="0" xfId="0" applyNumberFormat="1" applyFont="1" applyFill="1" applyAlignment="1">
      <alignment horizontal="center"/>
    </xf>
    <xf numFmtId="0" fontId="15" fillId="0" borderId="0" xfId="0" applyFont="1" applyFill="1" applyAlignment="1">
      <alignment horizontal="center"/>
    </xf>
    <xf numFmtId="175" fontId="15" fillId="0" borderId="0" xfId="0" applyNumberFormat="1" applyFont="1" applyFill="1" applyAlignment="1">
      <alignment horizontal="center"/>
    </xf>
    <xf numFmtId="2" fontId="14" fillId="0" borderId="0" xfId="0" applyNumberFormat="1" applyFont="1" applyFill="1" applyAlignment="1">
      <alignment horizontal="center"/>
    </xf>
    <xf numFmtId="2" fontId="15" fillId="0" borderId="0" xfId="0" applyNumberFormat="1" applyFont="1" applyFill="1" applyAlignment="1">
      <alignment horizontal="center"/>
    </xf>
    <xf numFmtId="0" fontId="0" fillId="0" borderId="0" xfId="0" applyFont="1" applyAlignment="1">
      <alignment horizontal="right"/>
    </xf>
    <xf numFmtId="0" fontId="0" fillId="0" borderId="0" xfId="0" applyBorder="1" applyAlignment="1">
      <alignment horizontal="right"/>
    </xf>
    <xf numFmtId="0" fontId="0" fillId="0" borderId="0" xfId="0" applyFont="1" applyAlignment="1">
      <alignment/>
    </xf>
    <xf numFmtId="2" fontId="2" fillId="0" borderId="0" xfId="0" applyNumberFormat="1" applyFont="1" applyFill="1" applyAlignment="1">
      <alignment/>
    </xf>
    <xf numFmtId="2" fontId="2" fillId="0" borderId="10" xfId="0" applyNumberFormat="1" applyFont="1" applyFill="1" applyBorder="1" applyAlignment="1">
      <alignment/>
    </xf>
    <xf numFmtId="175" fontId="15" fillId="0" borderId="0" xfId="0" applyNumberFormat="1" applyFont="1" applyFill="1" applyAlignment="1">
      <alignment/>
    </xf>
    <xf numFmtId="1" fontId="15" fillId="0" borderId="0" xfId="0" applyNumberFormat="1" applyFont="1" applyFill="1" applyAlignment="1">
      <alignment/>
    </xf>
    <xf numFmtId="0" fontId="4" fillId="32" borderId="0" xfId="0" applyFont="1" applyFill="1" applyAlignment="1">
      <alignment/>
    </xf>
    <xf numFmtId="0" fontId="0" fillId="32" borderId="0" xfId="0" applyFont="1" applyFill="1" applyAlignment="1">
      <alignment horizontal="right"/>
    </xf>
    <xf numFmtId="0" fontId="0" fillId="32" borderId="0" xfId="0" applyFont="1" applyFill="1" applyAlignment="1">
      <alignment horizontal="right"/>
    </xf>
    <xf numFmtId="0" fontId="6" fillId="32" borderId="0" xfId="0" applyFont="1" applyFill="1" applyAlignment="1">
      <alignment horizontal="right" wrapText="1"/>
    </xf>
    <xf numFmtId="0" fontId="0" fillId="32" borderId="0" xfId="0" applyFont="1" applyFill="1" applyAlignment="1">
      <alignment horizontal="right" wrapText="1"/>
    </xf>
    <xf numFmtId="0" fontId="0" fillId="32" borderId="0" xfId="0" applyFill="1" applyAlignment="1">
      <alignment/>
    </xf>
    <xf numFmtId="0" fontId="0" fillId="32" borderId="0" xfId="0" applyFill="1" applyAlignment="1">
      <alignment horizontal="right"/>
    </xf>
    <xf numFmtId="2" fontId="0" fillId="32" borderId="0" xfId="0" applyNumberFormat="1" applyFill="1" applyAlignment="1">
      <alignment/>
    </xf>
    <xf numFmtId="175" fontId="5" fillId="32" borderId="0" xfId="0" applyNumberFormat="1" applyFont="1" applyFill="1" applyAlignment="1">
      <alignment/>
    </xf>
    <xf numFmtId="2" fontId="0" fillId="32" borderId="0" xfId="0" applyNumberFormat="1" applyFont="1" applyFill="1" applyAlignment="1">
      <alignment/>
    </xf>
    <xf numFmtId="1" fontId="5" fillId="32" borderId="0" xfId="0" applyNumberFormat="1" applyFont="1" applyFill="1" applyAlignment="1">
      <alignment/>
    </xf>
    <xf numFmtId="0" fontId="11" fillId="32" borderId="0" xfId="0" applyFont="1" applyFill="1" applyAlignment="1">
      <alignment horizontal="right"/>
    </xf>
    <xf numFmtId="175" fontId="0" fillId="32" borderId="0" xfId="0" applyNumberFormat="1" applyFont="1" applyFill="1" applyAlignment="1">
      <alignment/>
    </xf>
    <xf numFmtId="1" fontId="0" fillId="32" borderId="0" xfId="0" applyNumberFormat="1" applyFill="1" applyAlignment="1">
      <alignment/>
    </xf>
    <xf numFmtId="0" fontId="1" fillId="32" borderId="0" xfId="0" applyFont="1" applyFill="1" applyAlignment="1">
      <alignment horizontal="left"/>
    </xf>
    <xf numFmtId="0" fontId="4" fillId="32" borderId="0" xfId="0" applyFont="1" applyFill="1" applyAlignment="1">
      <alignment horizontal="left"/>
    </xf>
    <xf numFmtId="0" fontId="0" fillId="32" borderId="0" xfId="0" applyFont="1" applyFill="1" applyAlignment="1">
      <alignment horizontal="center" wrapText="1"/>
    </xf>
    <xf numFmtId="0" fontId="0" fillId="32" borderId="0" xfId="0" applyFont="1" applyFill="1" applyAlignment="1">
      <alignment horizontal="center" wrapText="1"/>
    </xf>
    <xf numFmtId="0" fontId="0" fillId="32" borderId="0" xfId="0" applyFill="1" applyAlignment="1">
      <alignment horizontal="center" wrapText="1"/>
    </xf>
    <xf numFmtId="0" fontId="6" fillId="32" borderId="0" xfId="0" applyFont="1" applyFill="1" applyAlignment="1">
      <alignment/>
    </xf>
    <xf numFmtId="0" fontId="0" fillId="32" borderId="0" xfId="0" applyFont="1" applyFill="1" applyAlignment="1">
      <alignment horizontal="right"/>
    </xf>
    <xf numFmtId="0" fontId="6" fillId="32" borderId="0" xfId="0" applyFont="1" applyFill="1" applyAlignment="1">
      <alignment horizontal="right"/>
    </xf>
    <xf numFmtId="0" fontId="15" fillId="32" borderId="0" xfId="0" applyFont="1" applyFill="1" applyAlignment="1">
      <alignment/>
    </xf>
    <xf numFmtId="0" fontId="4" fillId="33" borderId="0" xfId="0" applyFont="1" applyFill="1" applyAlignment="1">
      <alignment/>
    </xf>
    <xf numFmtId="0" fontId="4" fillId="33" borderId="10" xfId="0" applyFont="1" applyFill="1" applyBorder="1" applyAlignment="1">
      <alignment/>
    </xf>
    <xf numFmtId="0" fontId="0" fillId="33" borderId="0" xfId="0" applyFont="1" applyFill="1" applyAlignment="1">
      <alignment horizontal="right"/>
    </xf>
    <xf numFmtId="0" fontId="0" fillId="33" borderId="0" xfId="0" applyFill="1" applyAlignment="1">
      <alignment/>
    </xf>
    <xf numFmtId="175" fontId="0" fillId="33" borderId="0" xfId="0" applyNumberFormat="1" applyFont="1" applyFill="1" applyAlignment="1">
      <alignment/>
    </xf>
    <xf numFmtId="2" fontId="0" fillId="33" borderId="0" xfId="0" applyNumberFormat="1" applyFill="1" applyAlignment="1">
      <alignment/>
    </xf>
    <xf numFmtId="175" fontId="0" fillId="33" borderId="10" xfId="0" applyNumberFormat="1" applyFont="1" applyFill="1" applyBorder="1" applyAlignment="1">
      <alignment/>
    </xf>
    <xf numFmtId="0" fontId="0" fillId="33" borderId="0" xfId="0" applyFill="1" applyAlignment="1">
      <alignment horizontal="right"/>
    </xf>
    <xf numFmtId="175" fontId="5" fillId="33" borderId="0" xfId="0" applyNumberFormat="1" applyFont="1" applyFill="1" applyAlignment="1">
      <alignment/>
    </xf>
    <xf numFmtId="175" fontId="0" fillId="33" borderId="0" xfId="0" applyNumberFormat="1" applyFont="1" applyFill="1" applyAlignment="1">
      <alignment horizontal="right"/>
    </xf>
    <xf numFmtId="1" fontId="5" fillId="33" borderId="0" xfId="0" applyNumberFormat="1" applyFont="1" applyFill="1" applyAlignment="1">
      <alignment/>
    </xf>
    <xf numFmtId="1" fontId="0" fillId="33" borderId="0" xfId="0" applyNumberFormat="1" applyFill="1" applyAlignment="1">
      <alignment/>
    </xf>
    <xf numFmtId="0" fontId="1" fillId="33" borderId="0" xfId="0" applyFont="1" applyFill="1" applyAlignment="1">
      <alignment horizontal="left"/>
    </xf>
    <xf numFmtId="0" fontId="0" fillId="33" borderId="0" xfId="0" applyFont="1" applyFill="1" applyAlignment="1">
      <alignment horizontal="center" wrapText="1"/>
    </xf>
    <xf numFmtId="0" fontId="0" fillId="33" borderId="0" xfId="0" applyFont="1" applyFill="1" applyAlignment="1">
      <alignment horizontal="center" wrapText="1"/>
    </xf>
    <xf numFmtId="0" fontId="0" fillId="33" borderId="0" xfId="0" applyFill="1" applyAlignment="1">
      <alignment horizontal="center" wrapText="1"/>
    </xf>
    <xf numFmtId="0" fontId="6" fillId="33" borderId="0" xfId="0" applyFont="1" applyFill="1" applyAlignment="1">
      <alignment/>
    </xf>
    <xf numFmtId="0" fontId="0" fillId="33" borderId="0" xfId="0" applyFont="1" applyFill="1" applyAlignment="1">
      <alignment horizontal="right"/>
    </xf>
    <xf numFmtId="174" fontId="15" fillId="33" borderId="0" xfId="0" applyNumberFormat="1" applyFont="1" applyFill="1" applyAlignment="1">
      <alignment horizontal="center"/>
    </xf>
    <xf numFmtId="2" fontId="15" fillId="33" borderId="0" xfId="0" applyNumberFormat="1" applyFont="1" applyFill="1" applyAlignment="1">
      <alignment horizontal="center"/>
    </xf>
    <xf numFmtId="2" fontId="3" fillId="33" borderId="0" xfId="0" applyNumberFormat="1" applyFont="1" applyFill="1" applyAlignment="1">
      <alignment horizontal="center"/>
    </xf>
    <xf numFmtId="0" fontId="6" fillId="33" borderId="0" xfId="0" applyFont="1" applyFill="1" applyAlignment="1">
      <alignment horizontal="right"/>
    </xf>
    <xf numFmtId="176" fontId="0" fillId="33" borderId="0" xfId="0" applyNumberFormat="1" applyFill="1" applyAlignment="1">
      <alignment/>
    </xf>
    <xf numFmtId="175" fontId="15" fillId="33" borderId="0" xfId="0" applyNumberFormat="1" applyFont="1" applyFill="1" applyAlignment="1">
      <alignment horizontal="center"/>
    </xf>
    <xf numFmtId="0" fontId="15" fillId="33" borderId="0" xfId="0" applyFont="1" applyFill="1" applyAlignment="1">
      <alignment/>
    </xf>
    <xf numFmtId="0" fontId="16" fillId="0" borderId="11" xfId="0" applyFont="1" applyFill="1" applyBorder="1" applyAlignment="1">
      <alignment horizontal="left"/>
    </xf>
    <xf numFmtId="0" fontId="0" fillId="34" borderId="12" xfId="0" applyFill="1" applyBorder="1" applyAlignment="1">
      <alignment/>
    </xf>
    <xf numFmtId="175" fontId="6" fillId="34" borderId="13" xfId="0" applyNumberFormat="1" applyFont="1" applyFill="1" applyBorder="1" applyAlignment="1">
      <alignment horizontal="right"/>
    </xf>
    <xf numFmtId="175" fontId="6" fillId="34" borderId="14" xfId="0" applyNumberFormat="1" applyFont="1" applyFill="1" applyBorder="1" applyAlignment="1">
      <alignment horizontal="right"/>
    </xf>
    <xf numFmtId="0" fontId="0" fillId="32" borderId="0" xfId="0" applyFill="1" applyAlignment="1">
      <alignment/>
    </xf>
    <xf numFmtId="2" fontId="57" fillId="0" borderId="0" xfId="0" applyNumberFormat="1" applyFont="1" applyFill="1" applyAlignment="1">
      <alignment/>
    </xf>
    <xf numFmtId="0" fontId="57" fillId="0" borderId="0" xfId="0" applyFont="1" applyFill="1" applyAlignment="1">
      <alignment horizontal="right"/>
    </xf>
    <xf numFmtId="0" fontId="57" fillId="0" borderId="10" xfId="0" applyFont="1" applyFill="1" applyBorder="1" applyAlignment="1">
      <alignment horizontal="right"/>
    </xf>
    <xf numFmtId="0" fontId="11" fillId="33" borderId="0" xfId="0" applyFont="1" applyFill="1" applyAlignment="1">
      <alignment horizontal="right"/>
    </xf>
    <xf numFmtId="0" fontId="0" fillId="0" borderId="0" xfId="57">
      <alignment/>
      <protection/>
    </xf>
    <xf numFmtId="0" fontId="6" fillId="33" borderId="0" xfId="0" applyFont="1" applyFill="1" applyAlignment="1">
      <alignment horizontal="right" wrapText="1"/>
    </xf>
    <xf numFmtId="0" fontId="0" fillId="33" borderId="0" xfId="0" applyFont="1" applyFill="1" applyAlignment="1">
      <alignment horizontal="right" wrapText="1"/>
    </xf>
    <xf numFmtId="0" fontId="0" fillId="32" borderId="0" xfId="0" applyFont="1" applyFill="1" applyAlignment="1">
      <alignment horizontal="center" wrapText="1"/>
    </xf>
    <xf numFmtId="0" fontId="0" fillId="33" borderId="0" xfId="0" applyFont="1" applyFill="1" applyAlignment="1">
      <alignment horizontal="center" wrapText="1"/>
    </xf>
    <xf numFmtId="2" fontId="0" fillId="32" borderId="10" xfId="0" applyNumberFormat="1" applyFill="1" applyBorder="1" applyAlignment="1">
      <alignment/>
    </xf>
    <xf numFmtId="2" fontId="0" fillId="33" borderId="10" xfId="0" applyNumberFormat="1" applyFill="1" applyBorder="1" applyAlignment="1">
      <alignment/>
    </xf>
    <xf numFmtId="2" fontId="0" fillId="32" borderId="0" xfId="0" applyNumberFormat="1" applyFont="1" applyFill="1" applyAlignment="1">
      <alignment horizontal="center"/>
    </xf>
    <xf numFmtId="2" fontId="57" fillId="0" borderId="0" xfId="0" applyNumberFormat="1" applyFont="1" applyFill="1" applyAlignment="1">
      <alignment horizontal="center"/>
    </xf>
    <xf numFmtId="2" fontId="58" fillId="0" borderId="0" xfId="0" applyNumberFormat="1" applyFont="1" applyFill="1" applyAlignment="1">
      <alignment horizontal="center"/>
    </xf>
    <xf numFmtId="0" fontId="0" fillId="33" borderId="0" xfId="0" applyFont="1" applyFill="1" applyAlignment="1">
      <alignment/>
    </xf>
    <xf numFmtId="0" fontId="0" fillId="33" borderId="0" xfId="0" applyFill="1" applyAlignment="1">
      <alignment horizontal="center"/>
    </xf>
    <xf numFmtId="0" fontId="0" fillId="32" borderId="0" xfId="0" applyFill="1" applyAlignment="1">
      <alignment horizontal="center"/>
    </xf>
    <xf numFmtId="0" fontId="0" fillId="33" borderId="0" xfId="0" applyFont="1" applyFill="1" applyAlignment="1">
      <alignment horizontal="center"/>
    </xf>
    <xf numFmtId="0" fontId="0" fillId="0" borderId="0" xfId="0" applyAlignment="1">
      <alignment horizontal="center"/>
    </xf>
    <xf numFmtId="0" fontId="57" fillId="0" borderId="0" xfId="0" applyFont="1" applyAlignment="1">
      <alignment horizontal="center"/>
    </xf>
    <xf numFmtId="2" fontId="57" fillId="35" borderId="0" xfId="0" applyNumberFormat="1" applyFont="1" applyFill="1" applyAlignment="1">
      <alignment horizontal="center"/>
    </xf>
    <xf numFmtId="2" fontId="0" fillId="33" borderId="0" xfId="0" applyNumberFormat="1" applyFill="1" applyBorder="1" applyAlignment="1">
      <alignment/>
    </xf>
    <xf numFmtId="1" fontId="15" fillId="35" borderId="0" xfId="0" applyNumberFormat="1" applyFont="1" applyFill="1" applyAlignment="1">
      <alignment/>
    </xf>
    <xf numFmtId="175" fontId="15" fillId="35" borderId="0" xfId="0" applyNumberFormat="1" applyFont="1" applyFill="1" applyAlignment="1">
      <alignment/>
    </xf>
    <xf numFmtId="2" fontId="15" fillId="35" borderId="0" xfId="0" applyNumberFormat="1" applyFont="1" applyFill="1" applyAlignment="1">
      <alignment/>
    </xf>
    <xf numFmtId="0" fontId="6" fillId="0" borderId="0" xfId="57" applyFont="1" applyAlignment="1">
      <alignment horizontal="right"/>
      <protection/>
    </xf>
    <xf numFmtId="0" fontId="6" fillId="0" borderId="0" xfId="0" applyFont="1" applyAlignment="1">
      <alignment horizontal="right"/>
    </xf>
    <xf numFmtId="0" fontId="0" fillId="0" borderId="0" xfId="0" applyBorder="1" applyAlignment="1">
      <alignment horizontal="center"/>
    </xf>
    <xf numFmtId="0" fontId="1" fillId="32" borderId="0" xfId="0" applyFont="1" applyFill="1" applyAlignment="1">
      <alignment horizontal="right" vertical="center" wrapText="1"/>
    </xf>
    <xf numFmtId="0" fontId="1" fillId="33" borderId="0" xfId="0" applyFont="1" applyFill="1" applyAlignment="1">
      <alignment horizontal="right" vertical="center" wrapText="1"/>
    </xf>
    <xf numFmtId="0" fontId="4" fillId="33" borderId="10" xfId="0" applyFont="1" applyFill="1" applyBorder="1" applyAlignment="1">
      <alignment horizontal="left"/>
    </xf>
    <xf numFmtId="0" fontId="1" fillId="32" borderId="10" xfId="0" applyFont="1" applyFill="1" applyBorder="1" applyAlignment="1">
      <alignment horizontal="left"/>
    </xf>
    <xf numFmtId="2" fontId="8" fillId="0" borderId="0" xfId="0" applyNumberFormat="1"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50" b="1" i="0" u="none" baseline="0">
                <a:solidFill>
                  <a:srgbClr val="000000"/>
                </a:solidFill>
                <a:latin typeface="Arial"/>
                <a:ea typeface="Arial"/>
                <a:cs typeface="Arial"/>
              </a:rPr>
              <a:t>Criterion vs practical</a:t>
            </a:r>
          </a:p>
        </c:rich>
      </c:tx>
      <c:layout>
        <c:manualLayout>
          <c:xMode val="factor"/>
          <c:yMode val="factor"/>
          <c:x val="-0.3005"/>
          <c:y val="-0.00625"/>
        </c:manualLayout>
      </c:layout>
      <c:spPr>
        <a:noFill/>
        <a:ln>
          <a:noFill/>
        </a:ln>
      </c:spPr>
    </c:title>
    <c:plotArea>
      <c:layout>
        <c:manualLayout>
          <c:xMode val="edge"/>
          <c:yMode val="edge"/>
          <c:x val="0.1815"/>
          <c:y val="0.17725"/>
          <c:w val="0.772"/>
          <c:h val="0.71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000080"/>
                </a:solidFill>
              </a:ln>
            </c:spPr>
          </c:marker>
          <c:trendline>
            <c:spPr>
              <a:ln w="3175">
                <a:solidFill>
                  <a:srgbClr val="000000"/>
                </a:solidFill>
              </a:ln>
            </c:spPr>
            <c:trendlineType val="linear"/>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trendlineLbl>
          </c:trendline>
          <c:xVal>
            <c:numRef>
              <c:f>'Sheet 1'!$E$18:$E$75</c:f>
              <c:numCache/>
            </c:numRef>
          </c:xVal>
          <c:yVal>
            <c:numRef>
              <c:f>'Sheet 1'!$D$18:$D$75</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000000"/>
                </a:solidFill>
                <a:prstDash val="sysDot"/>
              </a:ln>
            </c:spPr>
            <c:trendlineType val="linear"/>
            <c:dispEq val="0"/>
            <c:dispRSqr val="0"/>
          </c:trendline>
          <c:xVal>
            <c:numRef>
              <c:f>'Sheet 1'!$D$18:$D$75</c:f>
              <c:numCache/>
            </c:numRef>
          </c:xVal>
          <c:yVal>
            <c:numRef>
              <c:f>'Sheet 1'!$D$18:$D$75</c:f>
              <c:numCache/>
            </c:numRef>
          </c:yVal>
          <c:smooth val="0"/>
        </c:ser>
        <c:axId val="37075372"/>
        <c:axId val="65242893"/>
      </c:scatterChart>
      <c:valAx>
        <c:axId val="3707537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practical</a:t>
                </a:r>
              </a:p>
            </c:rich>
          </c:tx>
          <c:layout>
            <c:manualLayout>
              <c:xMode val="factor"/>
              <c:yMode val="factor"/>
              <c:x val="-0.00325"/>
              <c:y val="0.01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242893"/>
        <c:crossesAt val="0"/>
        <c:crossBetween val="midCat"/>
        <c:dispUnits/>
      </c:valAx>
      <c:valAx>
        <c:axId val="65242893"/>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criterion</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075372"/>
        <c:crossesAt val="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75" b="1" i="0" u="none" baseline="0">
                <a:solidFill>
                  <a:srgbClr val="000000"/>
                </a:solidFill>
                <a:latin typeface="Arial"/>
                <a:ea typeface="Arial"/>
                <a:cs typeface="Arial"/>
              </a:rPr>
              <a:t>100log(criterion) vs 100log(practical)</a:t>
            </a:r>
          </a:p>
        </c:rich>
      </c:tx>
      <c:layout>
        <c:manualLayout>
          <c:xMode val="factor"/>
          <c:yMode val="factor"/>
          <c:x val="-0.20275"/>
          <c:y val="-0.0095"/>
        </c:manualLayout>
      </c:layout>
      <c:spPr>
        <a:noFill/>
        <a:ln>
          <a:noFill/>
        </a:ln>
      </c:spPr>
    </c:title>
    <c:plotArea>
      <c:layout>
        <c:manualLayout>
          <c:xMode val="edge"/>
          <c:yMode val="edge"/>
          <c:x val="0.17975"/>
          <c:y val="0.1625"/>
          <c:w val="0.79075"/>
          <c:h val="0.75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000080"/>
                </a:solidFill>
              </a:ln>
            </c:spPr>
          </c:marker>
          <c:trendline>
            <c:spPr>
              <a:ln w="3175">
                <a:solidFill>
                  <a:srgbClr val="000000"/>
                </a:solidFill>
              </a:ln>
            </c:spPr>
            <c:trendlineType val="linear"/>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trendlineLbl>
          </c:trendline>
          <c:xVal>
            <c:numRef>
              <c:f>'Sheet 1'!$M$18:$M$75</c:f>
              <c:numCache/>
            </c:numRef>
          </c:xVal>
          <c:yVal>
            <c:numRef>
              <c:f>'Sheet 1'!$L$18:$L$75</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000000"/>
                </a:solidFill>
                <a:prstDash val="sysDot"/>
              </a:ln>
            </c:spPr>
            <c:trendlineType val="linear"/>
            <c:dispEq val="0"/>
            <c:dispRSqr val="0"/>
          </c:trendline>
          <c:xVal>
            <c:numRef>
              <c:f>'Sheet 1'!$L$18:$L$75</c:f>
              <c:numCache/>
            </c:numRef>
          </c:xVal>
          <c:yVal>
            <c:numRef>
              <c:f>'Sheet 1'!$L$18:$L$75</c:f>
              <c:numCache/>
            </c:numRef>
          </c:yVal>
          <c:smooth val="0"/>
        </c:ser>
        <c:axId val="50315126"/>
        <c:axId val="50182951"/>
      </c:scatterChart>
      <c:valAx>
        <c:axId val="5031512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100log(practical)</a:t>
                </a:r>
              </a:p>
            </c:rich>
          </c:tx>
          <c:layout>
            <c:manualLayout>
              <c:xMode val="factor"/>
              <c:yMode val="factor"/>
              <c:x val="-0.0082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182951"/>
        <c:crosses val="autoZero"/>
        <c:crossBetween val="midCat"/>
        <c:dispUnits/>
      </c:valAx>
      <c:valAx>
        <c:axId val="50182951"/>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100log(criterion)</a:t>
                </a:r>
              </a:p>
            </c:rich>
          </c:tx>
          <c:layout>
            <c:manualLayout>
              <c:xMode val="factor"/>
              <c:yMode val="factor"/>
              <c:x val="0.033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31512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75" b="1" i="0" u="none" baseline="0">
                <a:solidFill>
                  <a:srgbClr val="000000"/>
                </a:solidFill>
                <a:latin typeface="Arial"/>
                <a:ea typeface="Arial"/>
                <a:cs typeface="Arial"/>
              </a:rPr>
              <a:t>Residual vs predicted</a:t>
            </a:r>
          </a:p>
        </c:rich>
      </c:tx>
      <c:layout>
        <c:manualLayout>
          <c:xMode val="factor"/>
          <c:yMode val="factor"/>
          <c:x val="-0.27625"/>
          <c:y val="0"/>
        </c:manualLayout>
      </c:layout>
      <c:spPr>
        <a:noFill/>
        <a:ln>
          <a:noFill/>
        </a:ln>
      </c:spPr>
    </c:title>
    <c:plotArea>
      <c:layout>
        <c:manualLayout>
          <c:xMode val="edge"/>
          <c:yMode val="edge"/>
          <c:x val="0.1395"/>
          <c:y val="0.13175"/>
          <c:w val="0.8205"/>
          <c:h val="0.776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000080"/>
                </a:solidFill>
              </a:ln>
            </c:spPr>
          </c:marker>
          <c:xVal>
            <c:numRef>
              <c:f>'Sheet 1'!$G$18:$G$75</c:f>
              <c:numCache/>
            </c:numRef>
          </c:xVal>
          <c:yVal>
            <c:numRef>
              <c:f>'Sheet 1'!$H$18:$H$75</c:f>
              <c:numCache/>
            </c:numRef>
          </c:yVal>
          <c:smooth val="0"/>
        </c:ser>
        <c:axId val="48993376"/>
        <c:axId val="38287201"/>
      </c:scatterChart>
      <c:valAx>
        <c:axId val="4899337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predicted</a:t>
                </a:r>
              </a:p>
            </c:rich>
          </c:tx>
          <c:layout>
            <c:manualLayout>
              <c:xMode val="factor"/>
              <c:yMode val="factor"/>
              <c:x val="0.01"/>
              <c:y val="0.02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287201"/>
        <c:crosses val="autoZero"/>
        <c:crossBetween val="midCat"/>
        <c:dispUnits/>
      </c:valAx>
      <c:valAx>
        <c:axId val="38287201"/>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residual</a:t>
                </a:r>
              </a:p>
            </c:rich>
          </c:tx>
          <c:layout>
            <c:manualLayout>
              <c:xMode val="factor"/>
              <c:yMode val="factor"/>
              <c:x val="0.00675"/>
              <c:y val="0.003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993376"/>
        <c:crossesAt val="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50" b="1" i="0" u="none" baseline="0">
                <a:solidFill>
                  <a:srgbClr val="000000"/>
                </a:solidFill>
                <a:latin typeface="Arial"/>
                <a:ea typeface="Arial"/>
                <a:cs typeface="Arial"/>
              </a:rPr>
              <a:t>Residual vs predicted for 100log transformed variables</a:t>
            </a:r>
          </a:p>
        </c:rich>
      </c:tx>
      <c:layout>
        <c:manualLayout>
          <c:xMode val="factor"/>
          <c:yMode val="factor"/>
          <c:x val="-0.14825"/>
          <c:y val="-0.02175"/>
        </c:manualLayout>
      </c:layout>
      <c:spPr>
        <a:noFill/>
        <a:ln>
          <a:noFill/>
        </a:ln>
      </c:spPr>
    </c:title>
    <c:plotArea>
      <c:layout>
        <c:manualLayout>
          <c:xMode val="edge"/>
          <c:yMode val="edge"/>
          <c:x val="0.23125"/>
          <c:y val="0.116"/>
          <c:w val="0.7455"/>
          <c:h val="0.78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000080"/>
                </a:solidFill>
              </a:ln>
            </c:spPr>
          </c:marker>
          <c:xVal>
            <c:numRef>
              <c:f>'Sheet 1'!$O$18:$O$75</c:f>
              <c:numCache/>
            </c:numRef>
          </c:xVal>
          <c:yVal>
            <c:numRef>
              <c:f>'Sheet 1'!$P$18:$P$75</c:f>
              <c:numCache/>
            </c:numRef>
          </c:yVal>
          <c:smooth val="0"/>
        </c:ser>
        <c:axId val="9040490"/>
        <c:axId val="14255547"/>
      </c:scatterChart>
      <c:valAx>
        <c:axId val="904049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predicted</a:t>
                </a:r>
              </a:p>
            </c:rich>
          </c:tx>
          <c:layout>
            <c:manualLayout>
              <c:xMode val="factor"/>
              <c:yMode val="factor"/>
              <c:x val="0.00975"/>
              <c:y val="-0.00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255547"/>
        <c:crosses val="autoZero"/>
        <c:crossBetween val="midCat"/>
        <c:dispUnits/>
      </c:valAx>
      <c:valAx>
        <c:axId val="14255547"/>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residual (%)</a:t>
                </a:r>
              </a:p>
            </c:rich>
          </c:tx>
          <c:layout>
            <c:manualLayout>
              <c:xMode val="factor"/>
              <c:yMode val="factor"/>
              <c:x val="0.0295"/>
              <c:y val="0.01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040490"/>
        <c:crossesAt val="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0.09975</cdr:y>
    </cdr:from>
    <cdr:to>
      <cdr:x>0.629</cdr:x>
      <cdr:y>0.188</cdr:y>
    </cdr:to>
    <cdr:sp>
      <cdr:nvSpPr>
        <cdr:cNvPr id="1" name="Text Box 2"/>
        <cdr:cNvSpPr txBox="1">
          <a:spLocks noChangeArrowheads="1"/>
        </cdr:cNvSpPr>
      </cdr:nvSpPr>
      <cdr:spPr>
        <a:xfrm>
          <a:off x="38100" y="257175"/>
          <a:ext cx="1905000"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Dashed line is line of identity</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0.0935</cdr:y>
    </cdr:from>
    <cdr:to>
      <cdr:x>0.62975</cdr:x>
      <cdr:y>0.17075</cdr:y>
    </cdr:to>
    <cdr:sp>
      <cdr:nvSpPr>
        <cdr:cNvPr id="1" name="Text Box 1026"/>
        <cdr:cNvSpPr txBox="1">
          <a:spLocks noChangeArrowheads="1"/>
        </cdr:cNvSpPr>
      </cdr:nvSpPr>
      <cdr:spPr>
        <a:xfrm>
          <a:off x="0" y="247650"/>
          <a:ext cx="204787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Dashed line is line of identity</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121</xdr:row>
      <xdr:rowOff>9525</xdr:rowOff>
    </xdr:from>
    <xdr:to>
      <xdr:col>7</xdr:col>
      <xdr:colOff>400050</xdr:colOff>
      <xdr:row>137</xdr:row>
      <xdr:rowOff>85725</xdr:rowOff>
    </xdr:to>
    <xdr:graphicFrame>
      <xdr:nvGraphicFramePr>
        <xdr:cNvPr id="1" name="Chart 1"/>
        <xdr:cNvGraphicFramePr/>
      </xdr:nvGraphicFramePr>
      <xdr:xfrm>
        <a:off x="933450" y="20107275"/>
        <a:ext cx="3086100" cy="2667000"/>
      </xdr:xfrm>
      <a:graphic>
        <a:graphicData uri="http://schemas.openxmlformats.org/drawingml/2006/chart">
          <c:chart xmlns:c="http://schemas.openxmlformats.org/drawingml/2006/chart" r:id="rId1"/>
        </a:graphicData>
      </a:graphic>
    </xdr:graphicFrame>
    <xdr:clientData/>
  </xdr:twoCellAnchor>
  <xdr:twoCellAnchor>
    <xdr:from>
      <xdr:col>9</xdr:col>
      <xdr:colOff>457200</xdr:colOff>
      <xdr:row>121</xdr:row>
      <xdr:rowOff>0</xdr:rowOff>
    </xdr:from>
    <xdr:to>
      <xdr:col>15</xdr:col>
      <xdr:colOff>76200</xdr:colOff>
      <xdr:row>137</xdr:row>
      <xdr:rowOff>85725</xdr:rowOff>
    </xdr:to>
    <xdr:graphicFrame>
      <xdr:nvGraphicFramePr>
        <xdr:cNvPr id="2" name="Chart 6"/>
        <xdr:cNvGraphicFramePr/>
      </xdr:nvGraphicFramePr>
      <xdr:xfrm>
        <a:off x="5181600" y="20097750"/>
        <a:ext cx="3248025" cy="2676525"/>
      </xdr:xfrm>
      <a:graphic>
        <a:graphicData uri="http://schemas.openxmlformats.org/drawingml/2006/chart">
          <c:chart xmlns:c="http://schemas.openxmlformats.org/drawingml/2006/chart" r:id="rId2"/>
        </a:graphicData>
      </a:graphic>
    </xdr:graphicFrame>
    <xdr:clientData/>
  </xdr:twoCellAnchor>
  <xdr:twoCellAnchor>
    <xdr:from>
      <xdr:col>2</xdr:col>
      <xdr:colOff>295275</xdr:colOff>
      <xdr:row>138</xdr:row>
      <xdr:rowOff>142875</xdr:rowOff>
    </xdr:from>
    <xdr:to>
      <xdr:col>7</xdr:col>
      <xdr:colOff>447675</xdr:colOff>
      <xdr:row>155</xdr:row>
      <xdr:rowOff>85725</xdr:rowOff>
    </xdr:to>
    <xdr:graphicFrame>
      <xdr:nvGraphicFramePr>
        <xdr:cNvPr id="3" name="Chart 7"/>
        <xdr:cNvGraphicFramePr/>
      </xdr:nvGraphicFramePr>
      <xdr:xfrm>
        <a:off x="952500" y="22983825"/>
        <a:ext cx="3114675" cy="2533650"/>
      </xdr:xfrm>
      <a:graphic>
        <a:graphicData uri="http://schemas.openxmlformats.org/drawingml/2006/chart">
          <c:chart xmlns:c="http://schemas.openxmlformats.org/drawingml/2006/chart" r:id="rId3"/>
        </a:graphicData>
      </a:graphic>
    </xdr:graphicFrame>
    <xdr:clientData/>
  </xdr:twoCellAnchor>
  <xdr:twoCellAnchor>
    <xdr:from>
      <xdr:col>9</xdr:col>
      <xdr:colOff>457200</xdr:colOff>
      <xdr:row>139</xdr:row>
      <xdr:rowOff>0</xdr:rowOff>
    </xdr:from>
    <xdr:to>
      <xdr:col>15</xdr:col>
      <xdr:colOff>133350</xdr:colOff>
      <xdr:row>155</xdr:row>
      <xdr:rowOff>95250</xdr:rowOff>
    </xdr:to>
    <xdr:graphicFrame>
      <xdr:nvGraphicFramePr>
        <xdr:cNvPr id="4" name="Chart 8"/>
        <xdr:cNvGraphicFramePr/>
      </xdr:nvGraphicFramePr>
      <xdr:xfrm>
        <a:off x="5181600" y="22993350"/>
        <a:ext cx="3305175" cy="25336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7"/>
  <sheetViews>
    <sheetView tabSelected="1" zoomScalePageLayoutView="0" workbookViewId="0" topLeftCell="A1">
      <selection activeCell="A1" sqref="A1"/>
    </sheetView>
  </sheetViews>
  <sheetFormatPr defaultColWidth="8.8515625" defaultRowHeight="12.75"/>
  <cols>
    <col min="1" max="1" width="5.421875" style="0" customWidth="1"/>
    <col min="2" max="2" width="4.421875" style="0" customWidth="1"/>
    <col min="3" max="3" width="8.140625" style="0" customWidth="1"/>
    <col min="4" max="4" width="11.8515625" style="0" customWidth="1"/>
    <col min="5" max="5" width="9.00390625" style="0" customWidth="1"/>
    <col min="6" max="8" width="7.7109375" style="0" customWidth="1"/>
    <col min="9" max="9" width="8.8515625" style="0" customWidth="1"/>
    <col min="10" max="10" width="8.140625" style="0" customWidth="1"/>
    <col min="11" max="11" width="10.28125" style="0" customWidth="1"/>
    <col min="12" max="12" width="11.140625" style="0" customWidth="1"/>
    <col min="13" max="13" width="9.421875" style="0" customWidth="1"/>
    <col min="14" max="17" width="7.7109375" style="0" customWidth="1"/>
  </cols>
  <sheetData>
    <row r="1" s="5" customFormat="1" ht="15">
      <c r="B1" s="4" t="s">
        <v>4</v>
      </c>
    </row>
    <row r="2" spans="4:5" ht="12.75">
      <c r="D2" s="101" t="s">
        <v>142</v>
      </c>
      <c r="E2" s="80"/>
    </row>
    <row r="3" spans="4:10" ht="12.75">
      <c r="D3" s="102" t="s">
        <v>117</v>
      </c>
      <c r="E3" s="94">
        <v>2018</v>
      </c>
      <c r="F3" s="94">
        <v>2017</v>
      </c>
      <c r="G3" s="94">
        <v>2015</v>
      </c>
      <c r="H3" s="103">
        <v>2012</v>
      </c>
      <c r="J3" s="17"/>
    </row>
    <row r="4" ht="12.75">
      <c r="B4" s="1" t="s">
        <v>106</v>
      </c>
    </row>
    <row r="5" ht="12.75">
      <c r="B5" s="1" t="s">
        <v>33</v>
      </c>
    </row>
    <row r="6" s="1" customFormat="1" ht="12" customHeight="1">
      <c r="B6" s="1" t="s">
        <v>125</v>
      </c>
    </row>
    <row r="7" ht="12.75">
      <c r="B7" s="1" t="s">
        <v>13</v>
      </c>
    </row>
    <row r="8" ht="12.75">
      <c r="B8" s="8" t="s">
        <v>35</v>
      </c>
    </row>
    <row r="9" ht="12.75">
      <c r="B9" s="1" t="s">
        <v>25</v>
      </c>
    </row>
    <row r="10" ht="12.75">
      <c r="B10" s="1" t="s">
        <v>96</v>
      </c>
    </row>
    <row r="11" ht="12.75">
      <c r="B11" t="s">
        <v>14</v>
      </c>
    </row>
    <row r="12" ht="12.75">
      <c r="B12" t="s">
        <v>15</v>
      </c>
    </row>
    <row r="13" ht="12.75">
      <c r="B13" s="6" t="s">
        <v>11</v>
      </c>
    </row>
    <row r="14" ht="12.75">
      <c r="B14" s="18" t="s">
        <v>116</v>
      </c>
    </row>
    <row r="15" ht="12.75">
      <c r="C15" s="1"/>
    </row>
    <row r="16" spans="1:18" s="2" customFormat="1" ht="15">
      <c r="A16" s="23"/>
      <c r="B16" s="23"/>
      <c r="C16" s="23"/>
      <c r="D16" s="107" t="s">
        <v>3</v>
      </c>
      <c r="E16" s="107"/>
      <c r="F16" s="107"/>
      <c r="G16" s="107"/>
      <c r="H16" s="107"/>
      <c r="I16" s="107"/>
      <c r="J16" s="46"/>
      <c r="K16" s="46"/>
      <c r="L16" s="106" t="s">
        <v>122</v>
      </c>
      <c r="M16" s="106"/>
      <c r="N16" s="106"/>
      <c r="O16" s="106"/>
      <c r="P16" s="106"/>
      <c r="Q16" s="47"/>
      <c r="R16" s="46"/>
    </row>
    <row r="17" spans="1:18" s="16" customFormat="1" ht="26.25" customHeight="1">
      <c r="A17" s="24"/>
      <c r="B17" s="25"/>
      <c r="C17" s="25"/>
      <c r="D17" s="26" t="s">
        <v>99</v>
      </c>
      <c r="E17" s="27" t="s">
        <v>2</v>
      </c>
      <c r="F17" s="24"/>
      <c r="G17" s="24" t="s">
        <v>7</v>
      </c>
      <c r="H17" s="24" t="s">
        <v>8</v>
      </c>
      <c r="I17" s="24" t="s">
        <v>29</v>
      </c>
      <c r="J17" s="48"/>
      <c r="K17" s="48"/>
      <c r="L17" s="81" t="s">
        <v>99</v>
      </c>
      <c r="M17" s="82" t="s">
        <v>2</v>
      </c>
      <c r="N17" s="48"/>
      <c r="O17" s="48" t="s">
        <v>7</v>
      </c>
      <c r="P17" s="48" t="s">
        <v>8</v>
      </c>
      <c r="Q17" s="48" t="s">
        <v>29</v>
      </c>
      <c r="R17" s="48"/>
    </row>
    <row r="18" spans="1:18" ht="12.75">
      <c r="A18" s="28"/>
      <c r="B18" s="29" t="s">
        <v>95</v>
      </c>
      <c r="C18" s="77" t="s">
        <v>36</v>
      </c>
      <c r="D18" s="19">
        <v>5.2</v>
      </c>
      <c r="E18" s="19">
        <v>5.2</v>
      </c>
      <c r="F18" s="28"/>
      <c r="G18" s="30">
        <f aca="true" t="shared" si="0" ref="G18:G34">$E$87+$E$88*E18</f>
        <v>7.866246225968824</v>
      </c>
      <c r="H18" s="30">
        <f>D18-G18</f>
        <v>-2.666246225968824</v>
      </c>
      <c r="I18" s="30">
        <f>E18-D18</f>
        <v>0</v>
      </c>
      <c r="J18" s="49"/>
      <c r="K18" s="49"/>
      <c r="L18" s="50">
        <f>100*LN(D18)</f>
        <v>164.86586255873817</v>
      </c>
      <c r="M18" s="50">
        <f>100*LN(E18)</f>
        <v>164.86586255873817</v>
      </c>
      <c r="N18" s="49"/>
      <c r="O18" s="51">
        <f aca="true" t="shared" si="1" ref="O18:O49">100*LN($M$87)+$M$88*M18</f>
        <v>191.09257011265248</v>
      </c>
      <c r="P18" s="51">
        <f>L18-O18</f>
        <v>-26.22670755391431</v>
      </c>
      <c r="Q18" s="51">
        <f>M18-L18</f>
        <v>0</v>
      </c>
      <c r="R18" s="49"/>
    </row>
    <row r="19" spans="1:18" ht="12.75">
      <c r="A19" s="28"/>
      <c r="B19" s="28"/>
      <c r="C19" s="77" t="s">
        <v>37</v>
      </c>
      <c r="D19" s="19">
        <v>12.8</v>
      </c>
      <c r="E19" s="19">
        <v>7.2</v>
      </c>
      <c r="F19" s="28"/>
      <c r="G19" s="30">
        <f t="shared" si="0"/>
        <v>9.849033451387196</v>
      </c>
      <c r="H19" s="30">
        <f aca="true" t="shared" si="2" ref="H19:H31">D19-G19</f>
        <v>2.9509665486128043</v>
      </c>
      <c r="I19" s="30">
        <f aca="true" t="shared" si="3" ref="I19:I75">E19-D19</f>
        <v>-5.6000000000000005</v>
      </c>
      <c r="J19" s="49"/>
      <c r="K19" s="49"/>
      <c r="L19" s="50">
        <f aca="true" t="shared" si="4" ref="L19:L31">100*LN(D19)</f>
        <v>254.94451709255713</v>
      </c>
      <c r="M19" s="50">
        <f aca="true" t="shared" si="5" ref="M19:M31">100*LN(E19)</f>
        <v>197.40810260220096</v>
      </c>
      <c r="N19" s="49"/>
      <c r="O19" s="51">
        <f t="shared" si="1"/>
        <v>220.1327441035356</v>
      </c>
      <c r="P19" s="51">
        <f aca="true" t="shared" si="6" ref="P19:P75">L19-O19</f>
        <v>34.811772989021534</v>
      </c>
      <c r="Q19" s="51">
        <f aca="true" t="shared" si="7" ref="Q19:Q75">M19-L19</f>
        <v>-57.53641449035618</v>
      </c>
      <c r="R19" s="49"/>
    </row>
    <row r="20" spans="1:18" ht="12.75">
      <c r="A20" s="28"/>
      <c r="B20" s="28"/>
      <c r="C20" s="77" t="s">
        <v>38</v>
      </c>
      <c r="D20" s="19">
        <v>13.2</v>
      </c>
      <c r="E20" s="19">
        <v>10</v>
      </c>
      <c r="F20" s="28"/>
      <c r="G20" s="30">
        <f t="shared" si="0"/>
        <v>12.624935566972916</v>
      </c>
      <c r="H20" s="30">
        <f t="shared" si="2"/>
        <v>0.5750644330270838</v>
      </c>
      <c r="I20" s="30">
        <f t="shared" si="3"/>
        <v>-3.1999999999999993</v>
      </c>
      <c r="J20" s="49"/>
      <c r="K20" s="49"/>
      <c r="L20" s="50">
        <f t="shared" si="4"/>
        <v>258.0216829592325</v>
      </c>
      <c r="M20" s="50">
        <f t="shared" si="5"/>
        <v>230.25850929940458</v>
      </c>
      <c r="N20" s="49"/>
      <c r="O20" s="51">
        <f t="shared" si="1"/>
        <v>249.4479210822545</v>
      </c>
      <c r="P20" s="51">
        <f t="shared" si="6"/>
        <v>8.573761876978011</v>
      </c>
      <c r="Q20" s="51">
        <f t="shared" si="7"/>
        <v>-27.76317365982794</v>
      </c>
      <c r="R20" s="49"/>
    </row>
    <row r="21" spans="1:18" ht="12.75">
      <c r="A21" s="28"/>
      <c r="B21" s="28"/>
      <c r="C21" s="77" t="s">
        <v>39</v>
      </c>
      <c r="D21" s="19">
        <v>13.6</v>
      </c>
      <c r="E21" s="19">
        <v>9.8</v>
      </c>
      <c r="F21" s="28"/>
      <c r="G21" s="30">
        <f t="shared" si="0"/>
        <v>12.42665684443108</v>
      </c>
      <c r="H21" s="30">
        <f t="shared" si="2"/>
        <v>1.1733431555689204</v>
      </c>
      <c r="I21" s="30">
        <f t="shared" si="3"/>
        <v>-3.799999999999999</v>
      </c>
      <c r="J21" s="49"/>
      <c r="K21" s="49"/>
      <c r="L21" s="50">
        <f t="shared" si="4"/>
        <v>261.00697927420066</v>
      </c>
      <c r="M21" s="50">
        <f t="shared" si="5"/>
        <v>228.23823856765264</v>
      </c>
      <c r="N21" s="49"/>
      <c r="O21" s="51">
        <f t="shared" si="1"/>
        <v>247.64506382717903</v>
      </c>
      <c r="P21" s="51">
        <f t="shared" si="6"/>
        <v>13.36191544702163</v>
      </c>
      <c r="Q21" s="51">
        <f t="shared" si="7"/>
        <v>-32.768740706548016</v>
      </c>
      <c r="R21" s="49"/>
    </row>
    <row r="22" spans="1:18" ht="12.75">
      <c r="A22" s="28"/>
      <c r="B22" s="28"/>
      <c r="C22" s="77" t="s">
        <v>40</v>
      </c>
      <c r="D22" s="19">
        <v>12.8</v>
      </c>
      <c r="E22" s="19">
        <v>14.8</v>
      </c>
      <c r="F22" s="28"/>
      <c r="G22" s="30">
        <f t="shared" si="0"/>
        <v>17.38362490797701</v>
      </c>
      <c r="H22" s="30">
        <f t="shared" si="2"/>
        <v>-4.583624907977008</v>
      </c>
      <c r="I22" s="30">
        <f t="shared" si="3"/>
        <v>2</v>
      </c>
      <c r="J22" s="49"/>
      <c r="K22" s="49"/>
      <c r="L22" s="50">
        <f t="shared" si="4"/>
        <v>254.94451709255713</v>
      </c>
      <c r="M22" s="50">
        <f t="shared" si="5"/>
        <v>269.4627180770069</v>
      </c>
      <c r="N22" s="49"/>
      <c r="O22" s="51">
        <f t="shared" si="1"/>
        <v>284.4331293087295</v>
      </c>
      <c r="P22" s="51">
        <f t="shared" si="6"/>
        <v>-29.488612216172385</v>
      </c>
      <c r="Q22" s="51">
        <f t="shared" si="7"/>
        <v>14.518200984449777</v>
      </c>
      <c r="R22" s="49"/>
    </row>
    <row r="23" spans="1:18" ht="12.75">
      <c r="A23" s="28"/>
      <c r="B23" s="28"/>
      <c r="C23" s="77" t="s">
        <v>41</v>
      </c>
      <c r="D23" s="19">
        <v>13.2</v>
      </c>
      <c r="E23" s="19">
        <v>15.6</v>
      </c>
      <c r="F23" s="28"/>
      <c r="G23" s="30">
        <f t="shared" si="0"/>
        <v>18.176739798144357</v>
      </c>
      <c r="H23" s="30">
        <f t="shared" si="2"/>
        <v>-4.976739798144358</v>
      </c>
      <c r="I23" s="30">
        <f t="shared" si="3"/>
        <v>2.4000000000000004</v>
      </c>
      <c r="J23" s="49"/>
      <c r="K23" s="49"/>
      <c r="L23" s="50">
        <f t="shared" si="4"/>
        <v>258.0216829592325</v>
      </c>
      <c r="M23" s="50">
        <f t="shared" si="5"/>
        <v>274.72709142554913</v>
      </c>
      <c r="N23" s="49"/>
      <c r="O23" s="51">
        <f t="shared" si="1"/>
        <v>289.1309717986888</v>
      </c>
      <c r="P23" s="51">
        <f t="shared" si="6"/>
        <v>-31.10928883945627</v>
      </c>
      <c r="Q23" s="51">
        <f t="shared" si="7"/>
        <v>16.705408466316612</v>
      </c>
      <c r="R23" s="49"/>
    </row>
    <row r="24" spans="1:18" ht="12.75">
      <c r="A24" s="28"/>
      <c r="B24" s="28"/>
      <c r="C24" s="77" t="s">
        <v>42</v>
      </c>
      <c r="D24" s="19">
        <v>14</v>
      </c>
      <c r="E24" s="19">
        <v>15.4</v>
      </c>
      <c r="F24" s="28"/>
      <c r="G24" s="30">
        <f t="shared" si="0"/>
        <v>17.97846107560252</v>
      </c>
      <c r="H24" s="30">
        <f t="shared" si="2"/>
        <v>-3.978461075602521</v>
      </c>
      <c r="I24" s="30">
        <f t="shared" si="3"/>
        <v>1.4000000000000004</v>
      </c>
      <c r="J24" s="49"/>
      <c r="K24" s="49"/>
      <c r="L24" s="50">
        <f t="shared" si="4"/>
        <v>263.9057329615258</v>
      </c>
      <c r="M24" s="50">
        <f t="shared" si="5"/>
        <v>273.43675094195834</v>
      </c>
      <c r="N24" s="49"/>
      <c r="O24" s="51">
        <f t="shared" si="1"/>
        <v>287.9794926103812</v>
      </c>
      <c r="P24" s="51">
        <f t="shared" si="6"/>
        <v>-24.0737596488554</v>
      </c>
      <c r="Q24" s="51">
        <f t="shared" si="7"/>
        <v>9.531017980432523</v>
      </c>
      <c r="R24" s="49"/>
    </row>
    <row r="25" spans="1:18" ht="12.75">
      <c r="A25" s="28"/>
      <c r="B25" s="28"/>
      <c r="C25" s="77" t="s">
        <v>43</v>
      </c>
      <c r="D25" s="19">
        <v>15.2</v>
      </c>
      <c r="E25" s="19">
        <v>16.6</v>
      </c>
      <c r="F25" s="28"/>
      <c r="G25" s="30">
        <f t="shared" si="0"/>
        <v>19.168133410853546</v>
      </c>
      <c r="H25" s="30">
        <f t="shared" si="2"/>
        <v>-3.9681334108535466</v>
      </c>
      <c r="I25" s="30">
        <f t="shared" si="3"/>
        <v>1.4000000000000021</v>
      </c>
      <c r="J25" s="49"/>
      <c r="K25" s="49"/>
      <c r="L25" s="50">
        <f t="shared" si="4"/>
        <v>272.12954278522307</v>
      </c>
      <c r="M25" s="50">
        <f t="shared" si="5"/>
        <v>280.9402695362498</v>
      </c>
      <c r="N25" s="49"/>
      <c r="O25" s="51">
        <f t="shared" si="1"/>
        <v>294.67551246737395</v>
      </c>
      <c r="P25" s="51">
        <f t="shared" si="6"/>
        <v>-22.545969682150883</v>
      </c>
      <c r="Q25" s="51">
        <f t="shared" si="7"/>
        <v>8.81072675102672</v>
      </c>
      <c r="R25" s="49"/>
    </row>
    <row r="26" spans="1:18" ht="12.75">
      <c r="A26" s="28"/>
      <c r="B26" s="28"/>
      <c r="C26" s="77" t="s">
        <v>44</v>
      </c>
      <c r="D26" s="19">
        <v>15.8</v>
      </c>
      <c r="E26" s="19">
        <v>13.4</v>
      </c>
      <c r="F26" s="28"/>
      <c r="G26" s="30">
        <f t="shared" si="0"/>
        <v>15.995673850184149</v>
      </c>
      <c r="H26" s="30">
        <f t="shared" si="2"/>
        <v>-0.19567385018414818</v>
      </c>
      <c r="I26" s="30">
        <f t="shared" si="3"/>
        <v>-2.4000000000000004</v>
      </c>
      <c r="J26" s="49"/>
      <c r="K26" s="49"/>
      <c r="L26" s="50">
        <f t="shared" si="4"/>
        <v>276.0009940032921</v>
      </c>
      <c r="M26" s="50">
        <f t="shared" si="5"/>
        <v>259.5254706956866</v>
      </c>
      <c r="N26" s="49"/>
      <c r="O26" s="51">
        <f t="shared" si="1"/>
        <v>275.56528884788327</v>
      </c>
      <c r="P26" s="51">
        <f t="shared" si="6"/>
        <v>0.4357051554088116</v>
      </c>
      <c r="Q26" s="51">
        <f t="shared" si="7"/>
        <v>-16.4755233076055</v>
      </c>
      <c r="R26" s="49"/>
    </row>
    <row r="27" spans="1:18" ht="12.75">
      <c r="A27" s="28"/>
      <c r="B27" s="28"/>
      <c r="C27" s="77" t="s">
        <v>45</v>
      </c>
      <c r="D27" s="19">
        <v>18.4</v>
      </c>
      <c r="E27" s="19">
        <v>16.6</v>
      </c>
      <c r="F27" s="28"/>
      <c r="G27" s="30">
        <f t="shared" si="0"/>
        <v>19.168133410853546</v>
      </c>
      <c r="H27" s="30">
        <f t="shared" si="2"/>
        <v>-0.7681334108535474</v>
      </c>
      <c r="I27" s="30">
        <f t="shared" si="3"/>
        <v>-1.7999999999999972</v>
      </c>
      <c r="J27" s="49"/>
      <c r="K27" s="49"/>
      <c r="L27" s="50">
        <f t="shared" si="4"/>
        <v>291.235066461494</v>
      </c>
      <c r="M27" s="50">
        <f t="shared" si="5"/>
        <v>280.9402695362498</v>
      </c>
      <c r="N27" s="49"/>
      <c r="O27" s="51">
        <f t="shared" si="1"/>
        <v>294.67551246737395</v>
      </c>
      <c r="P27" s="51">
        <f t="shared" si="6"/>
        <v>-3.4404460058799486</v>
      </c>
      <c r="Q27" s="51">
        <f t="shared" si="7"/>
        <v>-10.294796925244214</v>
      </c>
      <c r="R27" s="49"/>
    </row>
    <row r="28" spans="1:18" ht="12.75">
      <c r="A28" s="28"/>
      <c r="B28" s="28"/>
      <c r="C28" s="77" t="s">
        <v>46</v>
      </c>
      <c r="D28" s="19">
        <v>19.8</v>
      </c>
      <c r="E28" s="19">
        <v>15.6</v>
      </c>
      <c r="F28" s="28"/>
      <c r="G28" s="30">
        <f t="shared" si="0"/>
        <v>18.176739798144357</v>
      </c>
      <c r="H28" s="30">
        <f t="shared" si="2"/>
        <v>1.6232602018556435</v>
      </c>
      <c r="I28" s="30">
        <f t="shared" si="3"/>
        <v>-4.200000000000001</v>
      </c>
      <c r="J28" s="49"/>
      <c r="K28" s="49"/>
      <c r="L28" s="50">
        <f t="shared" si="4"/>
        <v>298.568193770049</v>
      </c>
      <c r="M28" s="50">
        <f t="shared" si="5"/>
        <v>274.72709142554913</v>
      </c>
      <c r="N28" s="49"/>
      <c r="O28" s="51">
        <f t="shared" si="1"/>
        <v>289.1309717986888</v>
      </c>
      <c r="P28" s="51">
        <f t="shared" si="6"/>
        <v>9.437221971360202</v>
      </c>
      <c r="Q28" s="51">
        <f t="shared" si="7"/>
        <v>-23.84110234449986</v>
      </c>
      <c r="R28" s="49"/>
    </row>
    <row r="29" spans="1:18" ht="12.75">
      <c r="A29" s="28"/>
      <c r="B29" s="28"/>
      <c r="C29" s="77" t="s">
        <v>47</v>
      </c>
      <c r="D29" s="19">
        <v>20.6</v>
      </c>
      <c r="E29" s="19">
        <v>15.8</v>
      </c>
      <c r="F29" s="28"/>
      <c r="G29" s="30">
        <f t="shared" si="0"/>
        <v>18.375018520686197</v>
      </c>
      <c r="H29" s="30">
        <f t="shared" si="2"/>
        <v>2.2249814793138043</v>
      </c>
      <c r="I29" s="30">
        <f t="shared" si="3"/>
        <v>-4.800000000000001</v>
      </c>
      <c r="J29" s="49"/>
      <c r="K29" s="49"/>
      <c r="L29" s="50">
        <f t="shared" si="4"/>
        <v>302.5291075795535</v>
      </c>
      <c r="M29" s="50">
        <f t="shared" si="5"/>
        <v>276.0009940032921</v>
      </c>
      <c r="N29" s="49"/>
      <c r="O29" s="51">
        <f t="shared" si="1"/>
        <v>290.2677820630001</v>
      </c>
      <c r="P29" s="51">
        <f t="shared" si="6"/>
        <v>12.261325516553427</v>
      </c>
      <c r="Q29" s="51">
        <f t="shared" si="7"/>
        <v>-26.528113576261433</v>
      </c>
      <c r="R29" s="49"/>
    </row>
    <row r="30" spans="1:18" ht="12.75">
      <c r="A30" s="28"/>
      <c r="B30" s="28"/>
      <c r="C30" s="77" t="s">
        <v>48</v>
      </c>
      <c r="D30" s="19">
        <v>22</v>
      </c>
      <c r="E30" s="19">
        <v>16.8</v>
      </c>
      <c r="F30" s="28"/>
      <c r="G30" s="30">
        <f t="shared" si="0"/>
        <v>19.366412133395382</v>
      </c>
      <c r="H30" s="30">
        <f t="shared" si="2"/>
        <v>2.6335878666046177</v>
      </c>
      <c r="I30" s="30">
        <f t="shared" si="3"/>
        <v>-5.199999999999999</v>
      </c>
      <c r="J30" s="49"/>
      <c r="K30" s="49"/>
      <c r="L30" s="50">
        <f t="shared" si="4"/>
        <v>309.1042453358316</v>
      </c>
      <c r="M30" s="50">
        <f t="shared" si="5"/>
        <v>282.13788864092135</v>
      </c>
      <c r="N30" s="49"/>
      <c r="O30" s="51">
        <f t="shared" si="1"/>
        <v>295.74424858166776</v>
      </c>
      <c r="P30" s="51">
        <f t="shared" si="6"/>
        <v>13.35999675416383</v>
      </c>
      <c r="Q30" s="51">
        <f t="shared" si="7"/>
        <v>-26.966356694910246</v>
      </c>
      <c r="R30" s="49"/>
    </row>
    <row r="31" spans="1:18" ht="12.75">
      <c r="A31" s="28"/>
      <c r="B31" s="28"/>
      <c r="C31" s="77" t="s">
        <v>49</v>
      </c>
      <c r="D31" s="19">
        <v>21.2</v>
      </c>
      <c r="E31" s="19">
        <v>18</v>
      </c>
      <c r="F31" s="28"/>
      <c r="G31" s="30">
        <f t="shared" si="0"/>
        <v>20.556084468646404</v>
      </c>
      <c r="H31" s="30">
        <f t="shared" si="2"/>
        <v>0.6439155313535956</v>
      </c>
      <c r="I31" s="30">
        <f t="shared" si="3"/>
        <v>-3.1999999999999993</v>
      </c>
      <c r="J31" s="49"/>
      <c r="K31" s="49"/>
      <c r="L31" s="50">
        <f t="shared" si="4"/>
        <v>305.4001181677967</v>
      </c>
      <c r="M31" s="50">
        <f t="shared" si="5"/>
        <v>289.03717578961647</v>
      </c>
      <c r="N31" s="49"/>
      <c r="O31" s="51">
        <f t="shared" si="1"/>
        <v>301.90106197077614</v>
      </c>
      <c r="P31" s="51">
        <f t="shared" si="6"/>
        <v>3.4990561970205363</v>
      </c>
      <c r="Q31" s="51">
        <f t="shared" si="7"/>
        <v>-16.362942378180207</v>
      </c>
      <c r="R31" s="49"/>
    </row>
    <row r="32" spans="1:18" ht="12.75">
      <c r="A32" s="28"/>
      <c r="B32" s="28"/>
      <c r="C32" s="77" t="s">
        <v>50</v>
      </c>
      <c r="D32" s="19">
        <v>21.4</v>
      </c>
      <c r="E32" s="19">
        <v>19.6</v>
      </c>
      <c r="F32" s="28"/>
      <c r="G32" s="30">
        <f t="shared" si="0"/>
        <v>22.1423142489811</v>
      </c>
      <c r="H32" s="30">
        <f>D32-G32</f>
        <v>-0.7423142489811028</v>
      </c>
      <c r="I32" s="30">
        <f t="shared" si="3"/>
        <v>-1.7999999999999972</v>
      </c>
      <c r="J32" s="49"/>
      <c r="K32" s="49"/>
      <c r="L32" s="50">
        <f aca="true" t="shared" si="8" ref="L32:L75">100*LN(D32)</f>
        <v>306.3390922027806</v>
      </c>
      <c r="M32" s="50">
        <f aca="true" t="shared" si="9" ref="M32:M75">100*LN(E32)</f>
        <v>297.55295662364716</v>
      </c>
      <c r="N32" s="49"/>
      <c r="O32" s="51">
        <f t="shared" si="1"/>
        <v>309.50040844348945</v>
      </c>
      <c r="P32" s="51">
        <f t="shared" si="6"/>
        <v>-3.1613162407088566</v>
      </c>
      <c r="Q32" s="51">
        <f t="shared" si="7"/>
        <v>-8.786135579133429</v>
      </c>
      <c r="R32" s="49"/>
    </row>
    <row r="33" spans="1:18" ht="12.75">
      <c r="A33" s="28"/>
      <c r="B33" s="28"/>
      <c r="C33" s="77" t="s">
        <v>51</v>
      </c>
      <c r="D33" s="19">
        <v>21.2</v>
      </c>
      <c r="E33" s="19">
        <v>20</v>
      </c>
      <c r="F33" s="28"/>
      <c r="G33" s="30">
        <f t="shared" si="0"/>
        <v>22.538871694064774</v>
      </c>
      <c r="H33" s="30">
        <f>D33-G33</f>
        <v>-1.3388716940647747</v>
      </c>
      <c r="I33" s="30">
        <f t="shared" si="3"/>
        <v>-1.1999999999999993</v>
      </c>
      <c r="J33" s="49"/>
      <c r="K33" s="49"/>
      <c r="L33" s="50">
        <f t="shared" si="8"/>
        <v>305.4001181677967</v>
      </c>
      <c r="M33" s="50">
        <f t="shared" si="9"/>
        <v>299.57322735539907</v>
      </c>
      <c r="N33" s="49"/>
      <c r="O33" s="51">
        <f t="shared" si="1"/>
        <v>311.3032656985649</v>
      </c>
      <c r="P33" s="51">
        <f t="shared" si="6"/>
        <v>-5.903147530768251</v>
      </c>
      <c r="Q33" s="51">
        <f t="shared" si="7"/>
        <v>-5.8268908123976075</v>
      </c>
      <c r="R33" s="49"/>
    </row>
    <row r="34" spans="1:18" ht="12.75">
      <c r="A34" s="28"/>
      <c r="B34" s="28"/>
      <c r="C34" s="77" t="s">
        <v>52</v>
      </c>
      <c r="D34" s="19">
        <v>20.4</v>
      </c>
      <c r="E34" s="19">
        <v>21.4</v>
      </c>
      <c r="F34" s="28"/>
      <c r="G34" s="30">
        <f t="shared" si="0"/>
        <v>23.926822751857635</v>
      </c>
      <c r="H34" s="30">
        <f>D34-G34</f>
        <v>-3.5268227518576367</v>
      </c>
      <c r="I34" s="30">
        <f t="shared" si="3"/>
        <v>1</v>
      </c>
      <c r="J34" s="49"/>
      <c r="K34" s="49"/>
      <c r="L34" s="50">
        <f t="shared" si="8"/>
        <v>301.5534900850171</v>
      </c>
      <c r="M34" s="50">
        <f t="shared" si="9"/>
        <v>306.3390922027806</v>
      </c>
      <c r="N34" s="49"/>
      <c r="O34" s="51">
        <f t="shared" si="1"/>
        <v>317.34101516216487</v>
      </c>
      <c r="P34" s="51">
        <f t="shared" si="6"/>
        <v>-15.78752507714779</v>
      </c>
      <c r="Q34" s="51">
        <f t="shared" si="7"/>
        <v>4.785602117763517</v>
      </c>
      <c r="R34" s="49"/>
    </row>
    <row r="35" spans="1:18" ht="12.75">
      <c r="A35" s="28"/>
      <c r="B35" s="28"/>
      <c r="C35" s="77" t="s">
        <v>53</v>
      </c>
      <c r="D35" s="19">
        <v>22.4</v>
      </c>
      <c r="E35" s="19">
        <v>22</v>
      </c>
      <c r="F35" s="28"/>
      <c r="G35" s="30">
        <f aca="true" t="shared" si="10" ref="G35:G54">$E$87+$E$88*E35</f>
        <v>24.521658919483148</v>
      </c>
      <c r="H35" s="30">
        <f aca="true" t="shared" si="11" ref="H35:H54">D35-G35</f>
        <v>-2.121658919483149</v>
      </c>
      <c r="I35" s="30">
        <f t="shared" si="3"/>
        <v>-0.3999999999999986</v>
      </c>
      <c r="J35" s="49"/>
      <c r="K35" s="49"/>
      <c r="L35" s="50">
        <f aca="true" t="shared" si="12" ref="L35:L54">100*LN(D35)</f>
        <v>310.9060958860994</v>
      </c>
      <c r="M35" s="50">
        <f aca="true" t="shared" si="13" ref="M35:M54">100*LN(E35)</f>
        <v>309.1042453358316</v>
      </c>
      <c r="N35" s="49"/>
      <c r="O35" s="51">
        <f t="shared" si="1"/>
        <v>319.8085935460742</v>
      </c>
      <c r="P35" s="51">
        <f t="shared" si="6"/>
        <v>-8.902497659974756</v>
      </c>
      <c r="Q35" s="51">
        <f t="shared" si="7"/>
        <v>-1.8018505502678295</v>
      </c>
      <c r="R35" s="49"/>
    </row>
    <row r="36" spans="1:18" ht="12.75">
      <c r="A36" s="28"/>
      <c r="B36" s="28"/>
      <c r="C36" s="77" t="s">
        <v>54</v>
      </c>
      <c r="D36" s="19">
        <v>22.64</v>
      </c>
      <c r="E36" s="19">
        <v>21.2</v>
      </c>
      <c r="F36" s="28"/>
      <c r="G36" s="30">
        <f t="shared" si="10"/>
        <v>23.7285440293158</v>
      </c>
      <c r="H36" s="30">
        <f t="shared" si="11"/>
        <v>-1.0885440293157984</v>
      </c>
      <c r="I36" s="30">
        <f t="shared" si="3"/>
        <v>-1.4400000000000013</v>
      </c>
      <c r="J36" s="49"/>
      <c r="K36" s="49"/>
      <c r="L36" s="50">
        <f t="shared" si="12"/>
        <v>311.9718253334982</v>
      </c>
      <c r="M36" s="50">
        <f t="shared" si="13"/>
        <v>305.4001181677967</v>
      </c>
      <c r="N36" s="49"/>
      <c r="O36" s="51">
        <f t="shared" si="1"/>
        <v>316.5030897669728</v>
      </c>
      <c r="P36" s="51">
        <f t="shared" si="6"/>
        <v>-4.5312644334745755</v>
      </c>
      <c r="Q36" s="51">
        <f t="shared" si="7"/>
        <v>-6.571707165701525</v>
      </c>
      <c r="R36" s="49"/>
    </row>
    <row r="37" spans="1:18" ht="12.75">
      <c r="A37" s="28"/>
      <c r="B37" s="28"/>
      <c r="C37" s="77" t="s">
        <v>55</v>
      </c>
      <c r="D37" s="19">
        <v>23.2</v>
      </c>
      <c r="E37" s="19">
        <v>22</v>
      </c>
      <c r="F37" s="28"/>
      <c r="G37" s="30">
        <f t="shared" si="10"/>
        <v>24.521658919483148</v>
      </c>
      <c r="H37" s="30">
        <f t="shared" si="11"/>
        <v>-1.3216589194831485</v>
      </c>
      <c r="I37" s="30">
        <f t="shared" si="3"/>
        <v>-1.1999999999999993</v>
      </c>
      <c r="J37" s="49"/>
      <c r="K37" s="49"/>
      <c r="L37" s="50">
        <f t="shared" si="12"/>
        <v>314.41522786722646</v>
      </c>
      <c r="M37" s="50">
        <f t="shared" si="13"/>
        <v>309.1042453358316</v>
      </c>
      <c r="N37" s="49"/>
      <c r="O37" s="51">
        <f t="shared" si="1"/>
        <v>319.8085935460742</v>
      </c>
      <c r="P37" s="51">
        <f t="shared" si="6"/>
        <v>-5.393365678847715</v>
      </c>
      <c r="Q37" s="51">
        <f t="shared" si="7"/>
        <v>-5.31098253139487</v>
      </c>
      <c r="R37" s="49"/>
    </row>
    <row r="38" spans="1:18" ht="12.75">
      <c r="A38" s="28"/>
      <c r="B38" s="28"/>
      <c r="C38" s="77" t="s">
        <v>56</v>
      </c>
      <c r="D38" s="19">
        <v>23.4</v>
      </c>
      <c r="E38" s="19">
        <v>21.6</v>
      </c>
      <c r="F38" s="28"/>
      <c r="G38" s="30">
        <f t="shared" si="10"/>
        <v>24.125101474399475</v>
      </c>
      <c r="H38" s="30">
        <f t="shared" si="11"/>
        <v>-0.7251014743994766</v>
      </c>
      <c r="I38" s="30">
        <f t="shared" si="3"/>
        <v>-1.7999999999999972</v>
      </c>
      <c r="J38" s="49"/>
      <c r="K38" s="49"/>
      <c r="L38" s="50">
        <f t="shared" si="12"/>
        <v>315.2736022363656</v>
      </c>
      <c r="M38" s="50">
        <f t="shared" si="13"/>
        <v>307.26933146901195</v>
      </c>
      <c r="N38" s="49"/>
      <c r="O38" s="51">
        <f t="shared" si="1"/>
        <v>318.17114578957194</v>
      </c>
      <c r="P38" s="51">
        <f t="shared" si="6"/>
        <v>-2.897543553206333</v>
      </c>
      <c r="Q38" s="51">
        <f t="shared" si="7"/>
        <v>-8.00427076735366</v>
      </c>
      <c r="R38" s="49"/>
    </row>
    <row r="39" spans="1:18" ht="12.75">
      <c r="A39" s="28"/>
      <c r="B39" s="28"/>
      <c r="C39" s="77" t="s">
        <v>57</v>
      </c>
      <c r="D39" s="19">
        <v>23.8</v>
      </c>
      <c r="E39" s="19">
        <v>19.8</v>
      </c>
      <c r="F39" s="28"/>
      <c r="G39" s="30">
        <f t="shared" si="10"/>
        <v>22.340592971522938</v>
      </c>
      <c r="H39" s="30">
        <f t="shared" si="11"/>
        <v>1.459407028477063</v>
      </c>
      <c r="I39" s="30">
        <f t="shared" si="3"/>
        <v>-4</v>
      </c>
      <c r="J39" s="49"/>
      <c r="K39" s="49"/>
      <c r="L39" s="50">
        <f t="shared" si="12"/>
        <v>316.9685580677429</v>
      </c>
      <c r="M39" s="50">
        <f t="shared" si="13"/>
        <v>298.568193770049</v>
      </c>
      <c r="N39" s="49"/>
      <c r="O39" s="51">
        <f t="shared" si="1"/>
        <v>310.40638981828545</v>
      </c>
      <c r="P39" s="51">
        <f t="shared" si="6"/>
        <v>6.562168249457443</v>
      </c>
      <c r="Q39" s="51">
        <f t="shared" si="7"/>
        <v>-18.400364297693898</v>
      </c>
      <c r="R39" s="49"/>
    </row>
    <row r="40" spans="1:18" ht="12.75">
      <c r="A40" s="28"/>
      <c r="B40" s="28"/>
      <c r="C40" s="77" t="s">
        <v>58</v>
      </c>
      <c r="D40" s="19">
        <v>25.6</v>
      </c>
      <c r="E40" s="19">
        <v>20</v>
      </c>
      <c r="F40" s="28"/>
      <c r="G40" s="30">
        <f t="shared" si="10"/>
        <v>22.538871694064774</v>
      </c>
      <c r="H40" s="30">
        <f t="shared" si="11"/>
        <v>3.0611283059352274</v>
      </c>
      <c r="I40" s="30">
        <f t="shared" si="3"/>
        <v>-5.600000000000001</v>
      </c>
      <c r="J40" s="49"/>
      <c r="K40" s="49"/>
      <c r="L40" s="50">
        <f t="shared" si="12"/>
        <v>324.2592351485517</v>
      </c>
      <c r="M40" s="50">
        <f t="shared" si="13"/>
        <v>299.57322735539907</v>
      </c>
      <c r="N40" s="49"/>
      <c r="O40" s="51">
        <f t="shared" si="1"/>
        <v>311.3032656985649</v>
      </c>
      <c r="P40" s="51">
        <f t="shared" si="6"/>
        <v>12.955969449986753</v>
      </c>
      <c r="Q40" s="51">
        <f t="shared" si="7"/>
        <v>-24.686007793152612</v>
      </c>
      <c r="R40" s="49"/>
    </row>
    <row r="41" spans="1:18" ht="12.75">
      <c r="A41" s="28"/>
      <c r="B41" s="28"/>
      <c r="C41" s="77" t="s">
        <v>59</v>
      </c>
      <c r="D41" s="19">
        <v>26.6</v>
      </c>
      <c r="E41" s="19">
        <v>19.2</v>
      </c>
      <c r="F41" s="28"/>
      <c r="G41" s="30">
        <f t="shared" si="10"/>
        <v>21.745756803897425</v>
      </c>
      <c r="H41" s="30">
        <f t="shared" si="11"/>
        <v>4.854243196102576</v>
      </c>
      <c r="I41" s="30">
        <f t="shared" si="3"/>
        <v>-7.400000000000002</v>
      </c>
      <c r="J41" s="49"/>
      <c r="K41" s="49"/>
      <c r="L41" s="50">
        <f t="shared" si="12"/>
        <v>328.09112157876535</v>
      </c>
      <c r="M41" s="50">
        <f t="shared" si="13"/>
        <v>295.4910279033736</v>
      </c>
      <c r="N41" s="49"/>
      <c r="O41" s="51">
        <f t="shared" si="1"/>
        <v>307.66037626643066</v>
      </c>
      <c r="P41" s="51">
        <f t="shared" si="6"/>
        <v>20.430745312334693</v>
      </c>
      <c r="Q41" s="51">
        <f t="shared" si="7"/>
        <v>-32.60009367539175</v>
      </c>
      <c r="R41" s="49"/>
    </row>
    <row r="42" spans="1:18" ht="12.75">
      <c r="A42" s="28"/>
      <c r="B42" s="28"/>
      <c r="C42" s="77" t="s">
        <v>60</v>
      </c>
      <c r="D42" s="19">
        <v>27.2</v>
      </c>
      <c r="E42" s="19">
        <v>19.8</v>
      </c>
      <c r="F42" s="28"/>
      <c r="G42" s="30">
        <f t="shared" si="10"/>
        <v>22.340592971522938</v>
      </c>
      <c r="H42" s="30">
        <f t="shared" si="11"/>
        <v>4.859407028477062</v>
      </c>
      <c r="I42" s="30">
        <f t="shared" si="3"/>
        <v>-7.399999999999999</v>
      </c>
      <c r="J42" s="49"/>
      <c r="K42" s="49"/>
      <c r="L42" s="50">
        <f t="shared" si="12"/>
        <v>330.32169733019515</v>
      </c>
      <c r="M42" s="50">
        <f t="shared" si="13"/>
        <v>298.568193770049</v>
      </c>
      <c r="N42" s="49"/>
      <c r="O42" s="51">
        <f t="shared" si="1"/>
        <v>310.40638981828545</v>
      </c>
      <c r="P42" s="51">
        <f t="shared" si="6"/>
        <v>19.915307511909702</v>
      </c>
      <c r="Q42" s="51">
        <f t="shared" si="7"/>
        <v>-31.753503560146157</v>
      </c>
      <c r="R42" s="49"/>
    </row>
    <row r="43" spans="1:18" ht="12.75">
      <c r="A43" s="28"/>
      <c r="B43" s="28"/>
      <c r="C43" s="77" t="s">
        <v>61</v>
      </c>
      <c r="D43" s="19">
        <v>22.6</v>
      </c>
      <c r="E43" s="19">
        <v>26</v>
      </c>
      <c r="F43" s="28"/>
      <c r="G43" s="30">
        <f t="shared" si="10"/>
        <v>28.487233370319892</v>
      </c>
      <c r="H43" s="30">
        <f t="shared" si="11"/>
        <v>-5.8872333703198905</v>
      </c>
      <c r="I43" s="30">
        <f t="shared" si="3"/>
        <v>3.3999999999999986</v>
      </c>
      <c r="J43" s="49"/>
      <c r="K43" s="49"/>
      <c r="L43" s="50">
        <f t="shared" si="12"/>
        <v>311.794990627824</v>
      </c>
      <c r="M43" s="50">
        <f t="shared" si="13"/>
        <v>325.8096538021482</v>
      </c>
      <c r="N43" s="49"/>
      <c r="O43" s="51">
        <f t="shared" si="1"/>
        <v>334.71623259620344</v>
      </c>
      <c r="P43" s="51">
        <f t="shared" si="6"/>
        <v>-22.921241968379434</v>
      </c>
      <c r="Q43" s="51">
        <f t="shared" si="7"/>
        <v>14.014663174324198</v>
      </c>
      <c r="R43" s="49"/>
    </row>
    <row r="44" spans="1:18" ht="12.75">
      <c r="A44" s="28"/>
      <c r="B44" s="28"/>
      <c r="C44" s="77" t="s">
        <v>62</v>
      </c>
      <c r="D44" s="19">
        <v>24.6</v>
      </c>
      <c r="E44" s="19">
        <v>24</v>
      </c>
      <c r="F44" s="28"/>
      <c r="G44" s="30">
        <f t="shared" si="10"/>
        <v>26.504446144901518</v>
      </c>
      <c r="H44" s="30">
        <f t="shared" si="11"/>
        <v>-1.9044461449015166</v>
      </c>
      <c r="I44" s="30">
        <f t="shared" si="3"/>
        <v>-0.6000000000000014</v>
      </c>
      <c r="J44" s="49"/>
      <c r="K44" s="49"/>
      <c r="L44" s="50">
        <f t="shared" si="12"/>
        <v>320.2746442938317</v>
      </c>
      <c r="M44" s="50">
        <f t="shared" si="13"/>
        <v>317.8053830347946</v>
      </c>
      <c r="N44" s="49"/>
      <c r="O44" s="51">
        <f t="shared" si="1"/>
        <v>327.5733495173607</v>
      </c>
      <c r="P44" s="51">
        <f t="shared" si="6"/>
        <v>-7.298705223528998</v>
      </c>
      <c r="Q44" s="51">
        <f t="shared" si="7"/>
        <v>-2.4692612590371255</v>
      </c>
      <c r="R44" s="49"/>
    </row>
    <row r="45" spans="1:18" ht="12.75">
      <c r="A45" s="28"/>
      <c r="B45" s="28"/>
      <c r="C45" s="77" t="s">
        <v>63</v>
      </c>
      <c r="D45" s="19">
        <v>25.6</v>
      </c>
      <c r="E45" s="19">
        <v>23.4</v>
      </c>
      <c r="F45" s="28"/>
      <c r="G45" s="30">
        <f t="shared" si="10"/>
        <v>25.909609977276006</v>
      </c>
      <c r="H45" s="30">
        <f t="shared" si="11"/>
        <v>-0.30960997727600414</v>
      </c>
      <c r="I45" s="30">
        <f t="shared" si="3"/>
        <v>-2.200000000000003</v>
      </c>
      <c r="J45" s="49"/>
      <c r="K45" s="49"/>
      <c r="L45" s="50">
        <f t="shared" si="12"/>
        <v>324.2592351485517</v>
      </c>
      <c r="M45" s="50">
        <f t="shared" si="13"/>
        <v>315.2736022363656</v>
      </c>
      <c r="N45" s="49"/>
      <c r="O45" s="51">
        <f t="shared" si="1"/>
        <v>325.3140288684147</v>
      </c>
      <c r="P45" s="51">
        <f t="shared" si="6"/>
        <v>-1.054793719863028</v>
      </c>
      <c r="Q45" s="51">
        <f t="shared" si="7"/>
        <v>-8.985632912186077</v>
      </c>
      <c r="R45" s="49"/>
    </row>
    <row r="46" spans="1:18" ht="12.75">
      <c r="A46" s="28"/>
      <c r="B46" s="28"/>
      <c r="C46" s="77" t="s">
        <v>64</v>
      </c>
      <c r="D46" s="19">
        <v>25.4</v>
      </c>
      <c r="E46" s="19">
        <v>25</v>
      </c>
      <c r="F46" s="28"/>
      <c r="G46" s="30">
        <f t="shared" si="10"/>
        <v>27.495839757610703</v>
      </c>
      <c r="H46" s="30">
        <f t="shared" si="11"/>
        <v>-2.0958397576107046</v>
      </c>
      <c r="I46" s="30">
        <f t="shared" si="3"/>
        <v>-0.3999999999999986</v>
      </c>
      <c r="J46" s="49"/>
      <c r="K46" s="49"/>
      <c r="L46" s="50">
        <f t="shared" si="12"/>
        <v>323.4749174024491</v>
      </c>
      <c r="M46" s="50">
        <f t="shared" si="13"/>
        <v>321.88758248682007</v>
      </c>
      <c r="N46" s="49"/>
      <c r="O46" s="51">
        <f t="shared" si="1"/>
        <v>331.216238949495</v>
      </c>
      <c r="P46" s="51">
        <f t="shared" si="6"/>
        <v>-7.741321547045914</v>
      </c>
      <c r="Q46" s="51">
        <f t="shared" si="7"/>
        <v>-1.5873349156290146</v>
      </c>
      <c r="R46" s="49"/>
    </row>
    <row r="47" spans="1:18" ht="12.75">
      <c r="A47" s="28"/>
      <c r="B47" s="28"/>
      <c r="C47" s="77" t="s">
        <v>65</v>
      </c>
      <c r="D47" s="19">
        <v>26.8</v>
      </c>
      <c r="E47" s="19">
        <v>25.8</v>
      </c>
      <c r="F47" s="28"/>
      <c r="G47" s="30">
        <f t="shared" si="10"/>
        <v>28.288954647778056</v>
      </c>
      <c r="H47" s="30">
        <f t="shared" si="11"/>
        <v>-1.4889546477780549</v>
      </c>
      <c r="I47" s="30">
        <f t="shared" si="3"/>
        <v>-1</v>
      </c>
      <c r="J47" s="49"/>
      <c r="K47" s="49"/>
      <c r="L47" s="50">
        <f t="shared" si="12"/>
        <v>328.8401887516811</v>
      </c>
      <c r="M47" s="50">
        <f t="shared" si="13"/>
        <v>325.0374491927572</v>
      </c>
      <c r="N47" s="49"/>
      <c r="O47" s="51">
        <f t="shared" si="1"/>
        <v>334.027129566316</v>
      </c>
      <c r="P47" s="51">
        <f t="shared" si="6"/>
        <v>-5.186940814634852</v>
      </c>
      <c r="Q47" s="51">
        <f t="shared" si="7"/>
        <v>-3.8027395589239177</v>
      </c>
      <c r="R47" s="49"/>
    </row>
    <row r="48" spans="1:18" ht="12.75">
      <c r="A48" s="28"/>
      <c r="B48" s="28"/>
      <c r="C48" s="77" t="s">
        <v>66</v>
      </c>
      <c r="D48" s="19">
        <v>28.6</v>
      </c>
      <c r="E48" s="19">
        <v>23.2</v>
      </c>
      <c r="F48" s="28"/>
      <c r="G48" s="30">
        <f t="shared" si="10"/>
        <v>25.71133125473417</v>
      </c>
      <c r="H48" s="30">
        <f t="shared" si="11"/>
        <v>2.888668745265832</v>
      </c>
      <c r="I48" s="30">
        <f t="shared" si="3"/>
        <v>-5.400000000000002</v>
      </c>
      <c r="J48" s="49"/>
      <c r="K48" s="49"/>
      <c r="L48" s="50">
        <f t="shared" si="12"/>
        <v>335.34067178258067</v>
      </c>
      <c r="M48" s="50">
        <f t="shared" si="13"/>
        <v>314.41522786722646</v>
      </c>
      <c r="N48" s="49"/>
      <c r="O48" s="51">
        <f t="shared" si="1"/>
        <v>324.54802932456573</v>
      </c>
      <c r="P48" s="51">
        <f t="shared" si="6"/>
        <v>10.792642458014939</v>
      </c>
      <c r="Q48" s="51">
        <f t="shared" si="7"/>
        <v>-20.925443915354208</v>
      </c>
      <c r="R48" s="49"/>
    </row>
    <row r="49" spans="1:18" ht="12.75">
      <c r="A49" s="28"/>
      <c r="B49" s="28"/>
      <c r="C49" s="77" t="s">
        <v>67</v>
      </c>
      <c r="D49" s="19">
        <v>29.4</v>
      </c>
      <c r="E49" s="19">
        <v>20.8</v>
      </c>
      <c r="F49" s="28"/>
      <c r="G49" s="30">
        <f t="shared" si="10"/>
        <v>23.331986584232126</v>
      </c>
      <c r="H49" s="30">
        <f t="shared" si="11"/>
        <v>6.068013415767872</v>
      </c>
      <c r="I49" s="30">
        <f t="shared" si="3"/>
        <v>-8.599999999999998</v>
      </c>
      <c r="J49" s="49"/>
      <c r="K49" s="49"/>
      <c r="L49" s="50">
        <f t="shared" si="12"/>
        <v>338.0994674344636</v>
      </c>
      <c r="M49" s="50">
        <f t="shared" si="13"/>
        <v>303.49529867072727</v>
      </c>
      <c r="N49" s="49"/>
      <c r="O49" s="51">
        <f t="shared" si="1"/>
        <v>314.80325934527343</v>
      </c>
      <c r="P49" s="51">
        <f t="shared" si="6"/>
        <v>23.296208089190145</v>
      </c>
      <c r="Q49" s="51">
        <f t="shared" si="7"/>
        <v>-34.60416876373631</v>
      </c>
      <c r="R49" s="49"/>
    </row>
    <row r="50" spans="1:18" ht="12.75">
      <c r="A50" s="28"/>
      <c r="B50" s="28"/>
      <c r="C50" s="77" t="s">
        <v>68</v>
      </c>
      <c r="D50" s="19">
        <v>30.2</v>
      </c>
      <c r="E50" s="19">
        <v>22.4</v>
      </c>
      <c r="F50" s="28"/>
      <c r="G50" s="30">
        <f t="shared" si="10"/>
        <v>24.91821636456682</v>
      </c>
      <c r="H50" s="30">
        <f t="shared" si="11"/>
        <v>5.281783635433179</v>
      </c>
      <c r="I50" s="30">
        <f t="shared" si="3"/>
        <v>-7.800000000000001</v>
      </c>
      <c r="J50" s="49"/>
      <c r="K50" s="49"/>
      <c r="L50" s="50">
        <f t="shared" si="12"/>
        <v>340.78419243808236</v>
      </c>
      <c r="M50" s="50">
        <f t="shared" si="13"/>
        <v>310.9060958860994</v>
      </c>
      <c r="N50" s="49"/>
      <c r="O50" s="51">
        <f aca="true" t="shared" si="14" ref="O50:O75">100*LN($M$87)+$M$88*M50</f>
        <v>321.41653612825235</v>
      </c>
      <c r="P50" s="51">
        <f t="shared" si="6"/>
        <v>19.36765630983001</v>
      </c>
      <c r="Q50" s="51">
        <f t="shared" si="7"/>
        <v>-29.878096551982935</v>
      </c>
      <c r="R50" s="49"/>
    </row>
    <row r="51" spans="1:18" ht="12.75">
      <c r="A51" s="28"/>
      <c r="B51" s="28"/>
      <c r="C51" s="77" t="s">
        <v>69</v>
      </c>
      <c r="D51" s="19">
        <v>27.6</v>
      </c>
      <c r="E51" s="19">
        <v>28.2</v>
      </c>
      <c r="F51" s="28"/>
      <c r="G51" s="30">
        <f t="shared" si="10"/>
        <v>30.6682993182801</v>
      </c>
      <c r="H51" s="30">
        <f t="shared" si="11"/>
        <v>-3.068299318280097</v>
      </c>
      <c r="I51" s="30">
        <f t="shared" si="3"/>
        <v>0.5999999999999979</v>
      </c>
      <c r="J51" s="49"/>
      <c r="K51" s="49"/>
      <c r="L51" s="50">
        <f t="shared" si="12"/>
        <v>331.78157727231047</v>
      </c>
      <c r="M51" s="50">
        <f t="shared" si="13"/>
        <v>333.9321977944068</v>
      </c>
      <c r="N51" s="49"/>
      <c r="O51" s="51">
        <f t="shared" si="14"/>
        <v>341.9646608073148</v>
      </c>
      <c r="P51" s="51">
        <f t="shared" si="6"/>
        <v>-10.1830835350043</v>
      </c>
      <c r="Q51" s="51">
        <f t="shared" si="7"/>
        <v>2.1506205220963466</v>
      </c>
      <c r="R51" s="49"/>
    </row>
    <row r="52" spans="1:18" ht="12.75">
      <c r="A52" s="28"/>
      <c r="B52" s="28"/>
      <c r="C52" s="77" t="s">
        <v>70</v>
      </c>
      <c r="D52" s="19">
        <v>28</v>
      </c>
      <c r="E52" s="19">
        <v>27.6</v>
      </c>
      <c r="F52" s="28"/>
      <c r="G52" s="30">
        <f t="shared" si="10"/>
        <v>30.07346315065459</v>
      </c>
      <c r="H52" s="30">
        <f t="shared" si="11"/>
        <v>-2.0734631506545895</v>
      </c>
      <c r="I52" s="30">
        <f t="shared" si="3"/>
        <v>-0.3999999999999986</v>
      </c>
      <c r="J52" s="49"/>
      <c r="K52" s="49"/>
      <c r="L52" s="50">
        <f t="shared" si="12"/>
        <v>333.22045101752036</v>
      </c>
      <c r="M52" s="50">
        <f t="shared" si="13"/>
        <v>331.78157727231047</v>
      </c>
      <c r="N52" s="49"/>
      <c r="O52" s="51">
        <f t="shared" si="14"/>
        <v>340.04548148632676</v>
      </c>
      <c r="P52" s="51">
        <f t="shared" si="6"/>
        <v>-6.825030468806403</v>
      </c>
      <c r="Q52" s="51">
        <f t="shared" si="7"/>
        <v>-1.4388737452098894</v>
      </c>
      <c r="R52" s="49"/>
    </row>
    <row r="53" spans="1:18" ht="12.75">
      <c r="A53" s="28"/>
      <c r="B53" s="28"/>
      <c r="C53" s="77" t="s">
        <v>93</v>
      </c>
      <c r="D53" s="19">
        <v>28</v>
      </c>
      <c r="E53" s="19">
        <v>27.2</v>
      </c>
      <c r="F53" s="28"/>
      <c r="G53" s="30">
        <f t="shared" si="10"/>
        <v>29.676905705570913</v>
      </c>
      <c r="H53" s="30">
        <f t="shared" si="11"/>
        <v>-1.6769057055709133</v>
      </c>
      <c r="I53" s="30">
        <f t="shared" si="3"/>
        <v>-0.8000000000000007</v>
      </c>
      <c r="J53" s="49"/>
      <c r="K53" s="49"/>
      <c r="L53" s="50">
        <f t="shared" si="12"/>
        <v>333.22045101752036</v>
      </c>
      <c r="M53" s="50">
        <f t="shared" si="13"/>
        <v>330.32169733019515</v>
      </c>
      <c r="N53" s="49"/>
      <c r="O53" s="51">
        <f t="shared" si="14"/>
        <v>338.7427079996766</v>
      </c>
      <c r="P53" s="51">
        <f t="shared" si="6"/>
        <v>-5.52225698215625</v>
      </c>
      <c r="Q53" s="51">
        <f t="shared" si="7"/>
        <v>-2.898753687325211</v>
      </c>
      <c r="R53" s="49"/>
    </row>
    <row r="54" spans="1:18" ht="12.75">
      <c r="A54" s="28"/>
      <c r="B54" s="28"/>
      <c r="C54" s="77" t="s">
        <v>71</v>
      </c>
      <c r="D54" s="19">
        <v>28</v>
      </c>
      <c r="E54" s="19">
        <v>26.6</v>
      </c>
      <c r="F54" s="28"/>
      <c r="G54" s="30">
        <f t="shared" si="10"/>
        <v>29.082069537945404</v>
      </c>
      <c r="H54" s="30">
        <f t="shared" si="11"/>
        <v>-1.0820695379454044</v>
      </c>
      <c r="I54" s="30">
        <f t="shared" si="3"/>
        <v>-1.3999999999999986</v>
      </c>
      <c r="J54" s="49"/>
      <c r="K54" s="49"/>
      <c r="L54" s="50">
        <f t="shared" si="12"/>
        <v>333.22045101752036</v>
      </c>
      <c r="M54" s="50">
        <f t="shared" si="13"/>
        <v>328.09112157876535</v>
      </c>
      <c r="N54" s="49"/>
      <c r="O54" s="51">
        <f t="shared" si="14"/>
        <v>336.7521779121703</v>
      </c>
      <c r="P54" s="51">
        <f t="shared" si="6"/>
        <v>-3.531726894649921</v>
      </c>
      <c r="Q54" s="51">
        <f t="shared" si="7"/>
        <v>-5.129329438755008</v>
      </c>
      <c r="R54" s="49"/>
    </row>
    <row r="55" spans="1:18" ht="12.75">
      <c r="A55" s="28"/>
      <c r="B55" s="28"/>
      <c r="C55" s="77" t="s">
        <v>72</v>
      </c>
      <c r="D55" s="19">
        <v>29.2</v>
      </c>
      <c r="E55" s="19">
        <v>26</v>
      </c>
      <c r="F55" s="28"/>
      <c r="G55" s="30">
        <f>$E$87+$E$88*E55</f>
        <v>28.487233370319892</v>
      </c>
      <c r="H55" s="30">
        <f aca="true" t="shared" si="15" ref="H55:H75">D55-G55</f>
        <v>0.7127666296801074</v>
      </c>
      <c r="I55" s="30">
        <f t="shared" si="3"/>
        <v>-3.1999999999999993</v>
      </c>
      <c r="J55" s="49"/>
      <c r="K55" s="49"/>
      <c r="L55" s="50">
        <f t="shared" si="8"/>
        <v>337.4168709274236</v>
      </c>
      <c r="M55" s="50">
        <f t="shared" si="9"/>
        <v>325.8096538021482</v>
      </c>
      <c r="N55" s="49"/>
      <c r="O55" s="51">
        <f t="shared" si="14"/>
        <v>334.71623259620344</v>
      </c>
      <c r="P55" s="51">
        <f t="shared" si="6"/>
        <v>2.700638331220148</v>
      </c>
      <c r="Q55" s="51">
        <f t="shared" si="7"/>
        <v>-11.607217125275383</v>
      </c>
      <c r="R55" s="49"/>
    </row>
    <row r="56" spans="1:18" ht="12.75">
      <c r="A56" s="28"/>
      <c r="B56" s="28"/>
      <c r="C56" s="77" t="s">
        <v>73</v>
      </c>
      <c r="D56" s="19">
        <v>29.2</v>
      </c>
      <c r="E56" s="19">
        <v>26.6</v>
      </c>
      <c r="F56" s="28"/>
      <c r="G56" s="30">
        <f>$E$87+$E$88*E56</f>
        <v>29.082069537945404</v>
      </c>
      <c r="H56" s="30">
        <f t="shared" si="15"/>
        <v>0.1179304620545949</v>
      </c>
      <c r="I56" s="30">
        <f t="shared" si="3"/>
        <v>-2.599999999999998</v>
      </c>
      <c r="J56" s="49"/>
      <c r="K56" s="49"/>
      <c r="L56" s="50">
        <f t="shared" si="8"/>
        <v>337.4168709274236</v>
      </c>
      <c r="M56" s="50">
        <f t="shared" si="9"/>
        <v>328.09112157876535</v>
      </c>
      <c r="N56" s="49"/>
      <c r="O56" s="51">
        <f t="shared" si="14"/>
        <v>336.7521779121703</v>
      </c>
      <c r="P56" s="51">
        <f t="shared" si="6"/>
        <v>0.6646930152533059</v>
      </c>
      <c r="Q56" s="51">
        <f t="shared" si="7"/>
        <v>-9.325749348658235</v>
      </c>
      <c r="R56" s="49"/>
    </row>
    <row r="57" spans="1:18" ht="12.75">
      <c r="A57" s="28"/>
      <c r="B57" s="28"/>
      <c r="C57" s="77" t="s">
        <v>74</v>
      </c>
      <c r="D57" s="19">
        <v>29</v>
      </c>
      <c r="E57" s="19">
        <v>28</v>
      </c>
      <c r="F57" s="28"/>
      <c r="G57" s="30">
        <f aca="true" t="shared" si="16" ref="G57:G74">$E$87+$E$88*E57</f>
        <v>30.470020595738262</v>
      </c>
      <c r="H57" s="30">
        <f t="shared" si="15"/>
        <v>-1.4700205957382622</v>
      </c>
      <c r="I57" s="30">
        <f t="shared" si="3"/>
        <v>-1</v>
      </c>
      <c r="J57" s="49"/>
      <c r="K57" s="49"/>
      <c r="L57" s="50">
        <f t="shared" si="8"/>
        <v>336.7295829986474</v>
      </c>
      <c r="M57" s="50">
        <f t="shared" si="9"/>
        <v>333.22045101752036</v>
      </c>
      <c r="N57" s="49"/>
      <c r="O57" s="51">
        <f t="shared" si="14"/>
        <v>341.3295093791824</v>
      </c>
      <c r="P57" s="51">
        <f t="shared" si="6"/>
        <v>-4.59992638053501</v>
      </c>
      <c r="Q57" s="51">
        <f t="shared" si="7"/>
        <v>-3.509131981127041</v>
      </c>
      <c r="R57" s="49"/>
    </row>
    <row r="58" spans="1:18" ht="12.75">
      <c r="A58" s="28"/>
      <c r="B58" s="28"/>
      <c r="C58" s="77" t="s">
        <v>75</v>
      </c>
      <c r="D58" s="19">
        <v>30.2</v>
      </c>
      <c r="E58" s="19">
        <v>28</v>
      </c>
      <c r="F58" s="28"/>
      <c r="G58" s="30">
        <f t="shared" si="16"/>
        <v>30.470020595738262</v>
      </c>
      <c r="H58" s="30">
        <f t="shared" si="15"/>
        <v>-0.27002059573826287</v>
      </c>
      <c r="I58" s="30">
        <f t="shared" si="3"/>
        <v>-2.1999999999999993</v>
      </c>
      <c r="J58" s="49"/>
      <c r="K58" s="49"/>
      <c r="L58" s="50">
        <f t="shared" si="8"/>
        <v>340.78419243808236</v>
      </c>
      <c r="M58" s="50">
        <f t="shared" si="9"/>
        <v>333.22045101752036</v>
      </c>
      <c r="N58" s="49"/>
      <c r="O58" s="51">
        <f t="shared" si="14"/>
        <v>341.3295093791824</v>
      </c>
      <c r="P58" s="51">
        <f t="shared" si="6"/>
        <v>-0.5453169411000545</v>
      </c>
      <c r="Q58" s="51">
        <f t="shared" si="7"/>
        <v>-7.563741420561996</v>
      </c>
      <c r="R58" s="49"/>
    </row>
    <row r="59" spans="1:18" ht="12.75">
      <c r="A59" s="28"/>
      <c r="B59" s="28"/>
      <c r="C59" s="77" t="s">
        <v>76</v>
      </c>
      <c r="D59" s="19">
        <v>30.6</v>
      </c>
      <c r="E59" s="19">
        <v>27.4</v>
      </c>
      <c r="F59" s="28"/>
      <c r="G59" s="30">
        <f t="shared" si="16"/>
        <v>29.87518442811275</v>
      </c>
      <c r="H59" s="30">
        <f t="shared" si="15"/>
        <v>0.7248155718872518</v>
      </c>
      <c r="I59" s="30">
        <f t="shared" si="3"/>
        <v>-3.200000000000003</v>
      </c>
      <c r="J59" s="49"/>
      <c r="K59" s="49"/>
      <c r="L59" s="50">
        <f t="shared" si="8"/>
        <v>342.10000089583355</v>
      </c>
      <c r="M59" s="50">
        <f t="shared" si="9"/>
        <v>331.05430133940246</v>
      </c>
      <c r="N59" s="49"/>
      <c r="O59" s="51">
        <f t="shared" si="14"/>
        <v>339.39647208799335</v>
      </c>
      <c r="P59" s="51">
        <f t="shared" si="6"/>
        <v>2.7035288078402004</v>
      </c>
      <c r="Q59" s="51">
        <f t="shared" si="7"/>
        <v>-11.045699556431089</v>
      </c>
      <c r="R59" s="49"/>
    </row>
    <row r="60" spans="1:18" ht="12.75">
      <c r="A60" s="28"/>
      <c r="B60" s="28"/>
      <c r="C60" s="77" t="s">
        <v>77</v>
      </c>
      <c r="D60" s="19">
        <v>32.6</v>
      </c>
      <c r="E60" s="19">
        <v>26.4</v>
      </c>
      <c r="F60" s="28"/>
      <c r="G60" s="30">
        <f t="shared" si="16"/>
        <v>28.883790815403565</v>
      </c>
      <c r="H60" s="30">
        <f t="shared" si="15"/>
        <v>3.716209184596437</v>
      </c>
      <c r="I60" s="30">
        <f t="shared" si="3"/>
        <v>-6.200000000000003</v>
      </c>
      <c r="J60" s="49"/>
      <c r="K60" s="49"/>
      <c r="L60" s="50">
        <f t="shared" si="8"/>
        <v>348.4312288372662</v>
      </c>
      <c r="M60" s="50">
        <f t="shared" si="9"/>
        <v>327.33640101522707</v>
      </c>
      <c r="N60" s="49"/>
      <c r="O60" s="51">
        <f t="shared" si="14"/>
        <v>336.07867736487</v>
      </c>
      <c r="P60" s="51">
        <f t="shared" si="6"/>
        <v>12.352551472396215</v>
      </c>
      <c r="Q60" s="51">
        <f t="shared" si="7"/>
        <v>-21.09482782203912</v>
      </c>
      <c r="R60" s="49"/>
    </row>
    <row r="61" spans="1:18" ht="12.75">
      <c r="A61" s="28"/>
      <c r="B61" s="28"/>
      <c r="C61" s="77" t="s">
        <v>78</v>
      </c>
      <c r="D61" s="19">
        <v>33.6</v>
      </c>
      <c r="E61" s="19">
        <v>27</v>
      </c>
      <c r="F61" s="28"/>
      <c r="G61" s="30">
        <f t="shared" si="16"/>
        <v>29.478626983029077</v>
      </c>
      <c r="H61" s="30">
        <f t="shared" si="15"/>
        <v>4.121373016970924</v>
      </c>
      <c r="I61" s="30">
        <f t="shared" si="3"/>
        <v>-6.600000000000001</v>
      </c>
      <c r="J61" s="49"/>
      <c r="K61" s="49"/>
      <c r="L61" s="50">
        <f t="shared" si="8"/>
        <v>351.4526066969159</v>
      </c>
      <c r="M61" s="50">
        <f t="shared" si="9"/>
        <v>329.5836866004329</v>
      </c>
      <c r="N61" s="49"/>
      <c r="O61" s="51">
        <f t="shared" si="14"/>
        <v>338.084119040502</v>
      </c>
      <c r="P61" s="51">
        <f t="shared" si="6"/>
        <v>13.36848765641389</v>
      </c>
      <c r="Q61" s="51">
        <f t="shared" si="7"/>
        <v>-21.86892009648301</v>
      </c>
      <c r="R61" s="49"/>
    </row>
    <row r="62" spans="1:18" ht="12.75">
      <c r="A62" s="28"/>
      <c r="B62" s="28"/>
      <c r="C62" s="77" t="s">
        <v>79</v>
      </c>
      <c r="D62" s="19">
        <v>32.6</v>
      </c>
      <c r="E62" s="19">
        <v>27.2</v>
      </c>
      <c r="F62" s="28"/>
      <c r="G62" s="30">
        <f t="shared" si="16"/>
        <v>29.676905705570913</v>
      </c>
      <c r="H62" s="30">
        <f t="shared" si="15"/>
        <v>2.923094294429088</v>
      </c>
      <c r="I62" s="30">
        <f t="shared" si="3"/>
        <v>-5.400000000000002</v>
      </c>
      <c r="J62" s="49"/>
      <c r="K62" s="49"/>
      <c r="L62" s="50">
        <f t="shared" si="8"/>
        <v>348.4312288372662</v>
      </c>
      <c r="M62" s="50">
        <f t="shared" si="9"/>
        <v>330.32169733019515</v>
      </c>
      <c r="N62" s="49"/>
      <c r="O62" s="51">
        <f t="shared" si="14"/>
        <v>338.7427079996766</v>
      </c>
      <c r="P62" s="51">
        <f t="shared" si="6"/>
        <v>9.688520837589579</v>
      </c>
      <c r="Q62" s="51">
        <f t="shared" si="7"/>
        <v>-18.10953150707104</v>
      </c>
      <c r="R62" s="49"/>
    </row>
    <row r="63" spans="1:18" ht="12.75">
      <c r="A63" s="28"/>
      <c r="B63" s="28"/>
      <c r="C63" s="77" t="s">
        <v>80</v>
      </c>
      <c r="D63" s="19">
        <v>32</v>
      </c>
      <c r="E63" s="19">
        <v>28.8</v>
      </c>
      <c r="F63" s="28"/>
      <c r="G63" s="30">
        <f t="shared" si="16"/>
        <v>31.26313548590561</v>
      </c>
      <c r="H63" s="30">
        <f t="shared" si="15"/>
        <v>0.736864514094389</v>
      </c>
      <c r="I63" s="30">
        <f t="shared" si="3"/>
        <v>-3.1999999999999993</v>
      </c>
      <c r="J63" s="49"/>
      <c r="K63" s="49"/>
      <c r="L63" s="50">
        <f t="shared" si="8"/>
        <v>346.5735902799727</v>
      </c>
      <c r="M63" s="50">
        <f t="shared" si="9"/>
        <v>336.03753871419</v>
      </c>
      <c r="N63" s="49"/>
      <c r="O63" s="51">
        <f t="shared" si="14"/>
        <v>343.84343333615647</v>
      </c>
      <c r="P63" s="51">
        <f t="shared" si="6"/>
        <v>2.730156943816212</v>
      </c>
      <c r="Q63" s="51">
        <f t="shared" si="7"/>
        <v>-10.536051565782657</v>
      </c>
      <c r="R63" s="49"/>
    </row>
    <row r="64" spans="1:18" ht="12.75">
      <c r="A64" s="28"/>
      <c r="B64" s="28"/>
      <c r="C64" s="77" t="s">
        <v>81</v>
      </c>
      <c r="D64" s="19">
        <v>30.8</v>
      </c>
      <c r="E64" s="19">
        <v>29</v>
      </c>
      <c r="F64" s="28"/>
      <c r="G64" s="30">
        <f t="shared" si="16"/>
        <v>31.461414208447447</v>
      </c>
      <c r="H64" s="30">
        <f t="shared" si="15"/>
        <v>-0.6614142084474466</v>
      </c>
      <c r="I64" s="30">
        <f t="shared" si="3"/>
        <v>-1.8000000000000007</v>
      </c>
      <c r="J64" s="49"/>
      <c r="K64" s="49"/>
      <c r="L64" s="50">
        <f t="shared" si="8"/>
        <v>342.7514689979529</v>
      </c>
      <c r="M64" s="50">
        <f t="shared" si="9"/>
        <v>336.7295829986474</v>
      </c>
      <c r="N64" s="49"/>
      <c r="O64" s="51">
        <f t="shared" si="14"/>
        <v>344.4610025754958</v>
      </c>
      <c r="P64" s="51">
        <f t="shared" si="6"/>
        <v>-1.7095335775429135</v>
      </c>
      <c r="Q64" s="51">
        <f t="shared" si="7"/>
        <v>-6.021885999305482</v>
      </c>
      <c r="R64" s="49"/>
    </row>
    <row r="65" spans="1:18" ht="12.75">
      <c r="A65" s="28"/>
      <c r="B65" s="28"/>
      <c r="C65" s="77" t="s">
        <v>82</v>
      </c>
      <c r="D65" s="19">
        <v>30.8</v>
      </c>
      <c r="E65" s="19">
        <v>30.4</v>
      </c>
      <c r="F65" s="28"/>
      <c r="G65" s="30">
        <f t="shared" si="16"/>
        <v>32.84936526624031</v>
      </c>
      <c r="H65" s="30">
        <f t="shared" si="15"/>
        <v>-2.0493652662403115</v>
      </c>
      <c r="I65" s="30">
        <f t="shared" si="3"/>
        <v>-0.40000000000000213</v>
      </c>
      <c r="J65" s="49"/>
      <c r="K65" s="49"/>
      <c r="L65" s="50">
        <f t="shared" si="8"/>
        <v>342.7514689979529</v>
      </c>
      <c r="M65" s="50">
        <f t="shared" si="9"/>
        <v>341.4442608412176</v>
      </c>
      <c r="N65" s="49"/>
      <c r="O65" s="51">
        <f t="shared" si="14"/>
        <v>348.6683055969331</v>
      </c>
      <c r="P65" s="51">
        <f t="shared" si="6"/>
        <v>-5.91683659898024</v>
      </c>
      <c r="Q65" s="51">
        <f t="shared" si="7"/>
        <v>-1.3072081567352711</v>
      </c>
      <c r="R65" s="49"/>
    </row>
    <row r="66" spans="1:18" ht="12.75">
      <c r="A66" s="28"/>
      <c r="B66" s="28"/>
      <c r="C66" s="77" t="s">
        <v>83</v>
      </c>
      <c r="D66" s="19">
        <v>31</v>
      </c>
      <c r="E66" s="19">
        <v>31.4</v>
      </c>
      <c r="F66" s="28"/>
      <c r="G66" s="30">
        <f t="shared" si="16"/>
        <v>33.840758878949494</v>
      </c>
      <c r="H66" s="30">
        <f t="shared" si="15"/>
        <v>-2.8407588789494937</v>
      </c>
      <c r="I66" s="30">
        <f t="shared" si="3"/>
        <v>0.3999999999999986</v>
      </c>
      <c r="J66" s="49"/>
      <c r="K66" s="49"/>
      <c r="L66" s="50">
        <f t="shared" si="8"/>
        <v>343.3987204485146</v>
      </c>
      <c r="M66" s="50">
        <f t="shared" si="9"/>
        <v>344.68078929142075</v>
      </c>
      <c r="N66" s="49"/>
      <c r="O66" s="51">
        <f t="shared" si="14"/>
        <v>351.5565317668223</v>
      </c>
      <c r="P66" s="51">
        <f t="shared" si="6"/>
        <v>-8.157811318307665</v>
      </c>
      <c r="Q66" s="51">
        <f t="shared" si="7"/>
        <v>1.282068842906142</v>
      </c>
      <c r="R66" s="49"/>
    </row>
    <row r="67" spans="1:18" ht="12.75">
      <c r="A67" s="28"/>
      <c r="B67" s="28"/>
      <c r="C67" s="77" t="s">
        <v>84</v>
      </c>
      <c r="D67" s="19">
        <v>31.6</v>
      </c>
      <c r="E67" s="19">
        <v>30.8</v>
      </c>
      <c r="F67" s="28"/>
      <c r="G67" s="30">
        <f t="shared" si="16"/>
        <v>33.245922711323985</v>
      </c>
      <c r="H67" s="30">
        <f t="shared" si="15"/>
        <v>-1.6459227113239834</v>
      </c>
      <c r="I67" s="30">
        <f t="shared" si="3"/>
        <v>-0.8000000000000007</v>
      </c>
      <c r="J67" s="49"/>
      <c r="K67" s="49"/>
      <c r="L67" s="50">
        <f t="shared" si="8"/>
        <v>345.3157120592866</v>
      </c>
      <c r="M67" s="50">
        <f t="shared" si="9"/>
        <v>342.7514689979529</v>
      </c>
      <c r="N67" s="49"/>
      <c r="O67" s="51">
        <f t="shared" si="14"/>
        <v>349.83483722669166</v>
      </c>
      <c r="P67" s="51">
        <f t="shared" si="6"/>
        <v>-4.519125167405036</v>
      </c>
      <c r="Q67" s="51">
        <f t="shared" si="7"/>
        <v>-2.564243061333741</v>
      </c>
      <c r="R67" s="49"/>
    </row>
    <row r="68" spans="1:18" ht="12.75">
      <c r="A68" s="28"/>
      <c r="B68" s="28"/>
      <c r="C68" s="77" t="s">
        <v>85</v>
      </c>
      <c r="D68" s="19">
        <v>33.2</v>
      </c>
      <c r="E68" s="19">
        <v>30.8</v>
      </c>
      <c r="F68" s="28"/>
      <c r="G68" s="30">
        <f t="shared" si="16"/>
        <v>33.245922711323985</v>
      </c>
      <c r="H68" s="30">
        <f t="shared" si="15"/>
        <v>-0.04592271132398196</v>
      </c>
      <c r="I68" s="30">
        <f t="shared" si="3"/>
        <v>-2.400000000000002</v>
      </c>
      <c r="J68" s="49"/>
      <c r="K68" s="49"/>
      <c r="L68" s="50">
        <f t="shared" si="8"/>
        <v>350.25498759224433</v>
      </c>
      <c r="M68" s="50">
        <f t="shared" si="9"/>
        <v>342.7514689979529</v>
      </c>
      <c r="N68" s="49"/>
      <c r="O68" s="51">
        <f t="shared" si="14"/>
        <v>349.83483722669166</v>
      </c>
      <c r="P68" s="51">
        <f t="shared" si="6"/>
        <v>0.42015036555267216</v>
      </c>
      <c r="Q68" s="51">
        <f t="shared" si="7"/>
        <v>-7.5035185942914495</v>
      </c>
      <c r="R68" s="49"/>
    </row>
    <row r="69" spans="1:18" ht="12.75">
      <c r="A69" s="28"/>
      <c r="B69" s="28"/>
      <c r="C69" s="77" t="s">
        <v>86</v>
      </c>
      <c r="D69" s="19">
        <v>34.6</v>
      </c>
      <c r="E69" s="19">
        <v>29</v>
      </c>
      <c r="F69" s="28"/>
      <c r="G69" s="30">
        <f t="shared" si="16"/>
        <v>31.461414208447447</v>
      </c>
      <c r="H69" s="30">
        <f t="shared" si="15"/>
        <v>3.138585791552554</v>
      </c>
      <c r="I69" s="30">
        <f t="shared" si="3"/>
        <v>-5.600000000000001</v>
      </c>
      <c r="J69" s="49"/>
      <c r="K69" s="49"/>
      <c r="L69" s="50">
        <f t="shared" si="8"/>
        <v>354.3853682063679</v>
      </c>
      <c r="M69" s="50">
        <f t="shared" si="9"/>
        <v>336.7295829986474</v>
      </c>
      <c r="N69" s="49"/>
      <c r="O69" s="51">
        <f t="shared" si="14"/>
        <v>344.4610025754958</v>
      </c>
      <c r="P69" s="51">
        <f t="shared" si="6"/>
        <v>9.924365630872103</v>
      </c>
      <c r="Q69" s="51">
        <f t="shared" si="7"/>
        <v>-17.6557852077205</v>
      </c>
      <c r="R69" s="49"/>
    </row>
    <row r="70" spans="1:18" ht="12.75">
      <c r="A70" s="28"/>
      <c r="B70" s="28"/>
      <c r="C70" s="77" t="s">
        <v>87</v>
      </c>
      <c r="D70" s="19">
        <v>32.8</v>
      </c>
      <c r="E70" s="19">
        <v>32.6</v>
      </c>
      <c r="F70" s="28"/>
      <c r="G70" s="30">
        <f t="shared" si="16"/>
        <v>35.03043121420052</v>
      </c>
      <c r="H70" s="30">
        <f t="shared" si="15"/>
        <v>-2.2304312142005216</v>
      </c>
      <c r="I70" s="30">
        <f t="shared" si="3"/>
        <v>-0.19999999999999574</v>
      </c>
      <c r="J70" s="49"/>
      <c r="K70" s="49"/>
      <c r="L70" s="50">
        <f t="shared" si="8"/>
        <v>349.0428515390098</v>
      </c>
      <c r="M70" s="50">
        <f t="shared" si="9"/>
        <v>348.4312288372662</v>
      </c>
      <c r="N70" s="49"/>
      <c r="O70" s="51">
        <f t="shared" si="14"/>
        <v>354.90336397038834</v>
      </c>
      <c r="P70" s="51">
        <f t="shared" si="6"/>
        <v>-5.860512431378538</v>
      </c>
      <c r="Q70" s="51">
        <f t="shared" si="7"/>
        <v>-0.6116227017436131</v>
      </c>
      <c r="R70" s="49"/>
    </row>
    <row r="71" spans="1:18" ht="12.75">
      <c r="A71" s="28"/>
      <c r="B71" s="28"/>
      <c r="C71" s="77" t="s">
        <v>88</v>
      </c>
      <c r="D71" s="19">
        <v>33.8</v>
      </c>
      <c r="E71" s="19">
        <v>33.4</v>
      </c>
      <c r="F71" s="28"/>
      <c r="G71" s="30">
        <f t="shared" si="16"/>
        <v>35.823546104367864</v>
      </c>
      <c r="H71" s="30">
        <f t="shared" si="15"/>
        <v>-2.023546104367867</v>
      </c>
      <c r="I71" s="30">
        <f t="shared" si="3"/>
        <v>-0.3999999999999986</v>
      </c>
      <c r="J71" s="49"/>
      <c r="K71" s="49"/>
      <c r="L71" s="50">
        <f t="shared" si="8"/>
        <v>352.0460802488973</v>
      </c>
      <c r="M71" s="50">
        <f t="shared" si="9"/>
        <v>350.85558999826543</v>
      </c>
      <c r="N71" s="49"/>
      <c r="O71" s="51">
        <f t="shared" si="14"/>
        <v>357.06682505475527</v>
      </c>
      <c r="P71" s="51">
        <f t="shared" si="6"/>
        <v>-5.020744805857987</v>
      </c>
      <c r="Q71" s="51">
        <f t="shared" si="7"/>
        <v>-1.1904902506318535</v>
      </c>
      <c r="R71" s="49"/>
    </row>
    <row r="72" spans="1:18" ht="12.75">
      <c r="A72" s="28"/>
      <c r="B72" s="28"/>
      <c r="C72" s="77" t="s">
        <v>89</v>
      </c>
      <c r="D72" s="19">
        <v>36.8</v>
      </c>
      <c r="E72" s="19">
        <v>32</v>
      </c>
      <c r="F72" s="28"/>
      <c r="G72" s="30">
        <f t="shared" si="16"/>
        <v>34.435595046575</v>
      </c>
      <c r="H72" s="30">
        <f t="shared" si="15"/>
        <v>2.3644049534249945</v>
      </c>
      <c r="I72" s="30">
        <f t="shared" si="3"/>
        <v>-4.799999999999997</v>
      </c>
      <c r="J72" s="49"/>
      <c r="K72" s="49"/>
      <c r="L72" s="50">
        <f t="shared" si="8"/>
        <v>360.54978451748855</v>
      </c>
      <c r="M72" s="50">
        <f t="shared" si="9"/>
        <v>346.5735902799727</v>
      </c>
      <c r="N72" s="49"/>
      <c r="O72" s="51">
        <f t="shared" si="14"/>
        <v>353.2456370639453</v>
      </c>
      <c r="P72" s="51">
        <f t="shared" si="6"/>
        <v>7.304147453543237</v>
      </c>
      <c r="Q72" s="51">
        <f t="shared" si="7"/>
        <v>-13.97619423751587</v>
      </c>
      <c r="R72" s="49"/>
    </row>
    <row r="73" spans="1:18" ht="12.75">
      <c r="A73" s="28"/>
      <c r="B73" s="28"/>
      <c r="C73" s="77" t="s">
        <v>90</v>
      </c>
      <c r="D73" s="19">
        <v>37</v>
      </c>
      <c r="E73" s="19">
        <v>32.6</v>
      </c>
      <c r="F73" s="28"/>
      <c r="G73" s="30">
        <f t="shared" si="16"/>
        <v>35.03043121420052</v>
      </c>
      <c r="H73" s="30">
        <f t="shared" si="15"/>
        <v>1.9695687857994812</v>
      </c>
      <c r="I73" s="30">
        <f t="shared" si="3"/>
        <v>-4.399999999999999</v>
      </c>
      <c r="J73" s="49"/>
      <c r="K73" s="49"/>
      <c r="L73" s="50">
        <f t="shared" si="8"/>
        <v>361.09179126442245</v>
      </c>
      <c r="M73" s="50">
        <f t="shared" si="9"/>
        <v>348.4312288372662</v>
      </c>
      <c r="N73" s="49"/>
      <c r="O73" s="51">
        <f t="shared" si="14"/>
        <v>354.90336397038834</v>
      </c>
      <c r="P73" s="51">
        <f t="shared" si="6"/>
        <v>6.188427294034113</v>
      </c>
      <c r="Q73" s="51">
        <f t="shared" si="7"/>
        <v>-12.660562427156265</v>
      </c>
      <c r="R73" s="49"/>
    </row>
    <row r="74" spans="1:18" ht="12.75">
      <c r="A74" s="28"/>
      <c r="B74" s="28"/>
      <c r="C74" s="77" t="s">
        <v>91</v>
      </c>
      <c r="D74" s="76">
        <v>39.2</v>
      </c>
      <c r="E74" s="19">
        <v>32.8</v>
      </c>
      <c r="F74" s="28"/>
      <c r="G74" s="30">
        <f t="shared" si="16"/>
        <v>35.228709936742355</v>
      </c>
      <c r="H74" s="30">
        <f t="shared" si="15"/>
        <v>3.9712900632576478</v>
      </c>
      <c r="I74" s="30">
        <f t="shared" si="3"/>
        <v>-6.400000000000006</v>
      </c>
      <c r="J74" s="49"/>
      <c r="K74" s="49"/>
      <c r="L74" s="50">
        <f t="shared" si="8"/>
        <v>366.86767467964165</v>
      </c>
      <c r="M74" s="50">
        <f t="shared" si="9"/>
        <v>349.0428515390098</v>
      </c>
      <c r="N74" s="49"/>
      <c r="O74" s="51">
        <f t="shared" si="14"/>
        <v>355.4491662769194</v>
      </c>
      <c r="P74" s="51">
        <f t="shared" si="6"/>
        <v>11.418508402722239</v>
      </c>
      <c r="Q74" s="51">
        <f t="shared" si="7"/>
        <v>-17.82482314063185</v>
      </c>
      <c r="R74" s="49"/>
    </row>
    <row r="75" spans="1:18" ht="12.75">
      <c r="A75" s="28"/>
      <c r="B75" s="28"/>
      <c r="C75" s="78" t="s">
        <v>92</v>
      </c>
      <c r="D75" s="20">
        <v>42.2</v>
      </c>
      <c r="E75" s="20">
        <v>39.8</v>
      </c>
      <c r="F75" s="28"/>
      <c r="G75" s="85">
        <f>$E$87+$E$88*E75</f>
        <v>42.168465225706655</v>
      </c>
      <c r="H75" s="85">
        <f t="shared" si="15"/>
        <v>0.03153477429334828</v>
      </c>
      <c r="I75" s="85">
        <f t="shared" si="3"/>
        <v>-2.4000000000000057</v>
      </c>
      <c r="J75" s="49"/>
      <c r="K75" s="49"/>
      <c r="L75" s="52">
        <f t="shared" si="8"/>
        <v>374.2420221041966</v>
      </c>
      <c r="M75" s="52">
        <f t="shared" si="9"/>
        <v>368.3866912290392</v>
      </c>
      <c r="N75" s="49"/>
      <c r="O75" s="86">
        <f t="shared" si="14"/>
        <v>372.71129910797043</v>
      </c>
      <c r="P75" s="86">
        <f t="shared" si="6"/>
        <v>1.5307229962261886</v>
      </c>
      <c r="Q75" s="86">
        <f t="shared" si="7"/>
        <v>-5.855330875157449</v>
      </c>
      <c r="R75" s="49"/>
    </row>
    <row r="76" spans="1:18" ht="12.75">
      <c r="A76" s="28"/>
      <c r="B76" s="28"/>
      <c r="C76" s="29" t="s">
        <v>0</v>
      </c>
      <c r="D76" s="21">
        <f>AVERAGE(D18:D75)</f>
        <v>25.745517241379307</v>
      </c>
      <c r="E76" s="21">
        <f>AVERAGE(E18:E75)</f>
        <v>23.234482758620683</v>
      </c>
      <c r="F76" s="28"/>
      <c r="G76" s="28"/>
      <c r="H76" s="31"/>
      <c r="I76" s="32">
        <f>AVERAGE(I18:I75)</f>
        <v>-2.511034482758621</v>
      </c>
      <c r="J76" s="49"/>
      <c r="K76" s="63" t="s">
        <v>0</v>
      </c>
      <c r="L76" s="50">
        <f>AVERAGE(L18:L75)</f>
        <v>319.35385601042174</v>
      </c>
      <c r="M76" s="50">
        <f>AVERAGE(M18:M75)</f>
        <v>308.5946692552399</v>
      </c>
      <c r="N76" s="49"/>
      <c r="O76" s="97"/>
      <c r="P76" s="97"/>
      <c r="Q76" s="55">
        <f>100*(EXP(AVERAGE(Q18:Q75)/100)-1)</f>
        <v>-10.20059778510517</v>
      </c>
      <c r="R76" s="49"/>
    </row>
    <row r="77" spans="1:18" ht="12.75">
      <c r="A77" s="28"/>
      <c r="B77" s="28"/>
      <c r="C77" s="29" t="s">
        <v>1</v>
      </c>
      <c r="D77" s="21">
        <f>STDEV(D18:D75)</f>
        <v>7.531330390247538</v>
      </c>
      <c r="E77" s="21">
        <f>STDEV(E18:E75)</f>
        <v>7.073066079350275</v>
      </c>
      <c r="F77" s="28"/>
      <c r="G77" s="28"/>
      <c r="H77" s="31"/>
      <c r="I77" s="32">
        <f>STDEV(I18:I75)</f>
        <v>2.7484175285190533</v>
      </c>
      <c r="J77" s="49"/>
      <c r="K77" s="63" t="s">
        <v>1</v>
      </c>
      <c r="L77" s="50">
        <f>STDEV(L18:L75)</f>
        <v>36.4484410936875</v>
      </c>
      <c r="M77" s="50">
        <f>STDEV(M18:M75)</f>
        <v>38.0960389929528</v>
      </c>
      <c r="N77" s="49"/>
      <c r="O77" s="97"/>
      <c r="P77" s="97"/>
      <c r="Q77" s="55">
        <f>100*(EXP(STDEV(Q18:Q75)/100)-1)</f>
        <v>14.76044400587151</v>
      </c>
      <c r="R77" s="49"/>
    </row>
    <row r="78" spans="1:18" ht="12.75">
      <c r="A78" s="28"/>
      <c r="B78" s="28"/>
      <c r="C78" s="29" t="s">
        <v>12</v>
      </c>
      <c r="D78" s="22">
        <f>COUNT(D18:D75)</f>
        <v>58</v>
      </c>
      <c r="E78" s="22">
        <f>COUNT(E18:E75)</f>
        <v>58</v>
      </c>
      <c r="F78" s="28"/>
      <c r="G78" s="28"/>
      <c r="H78" s="33"/>
      <c r="I78" s="31"/>
      <c r="J78" s="49"/>
      <c r="K78" s="79" t="s">
        <v>20</v>
      </c>
      <c r="L78" s="50"/>
      <c r="M78" s="57">
        <f>DEVSQ(M18:M75)</f>
        <v>82724.56665629258</v>
      </c>
      <c r="N78" s="49"/>
      <c r="O78" s="49"/>
      <c r="P78" s="54"/>
      <c r="Q78" s="49"/>
      <c r="R78" s="49"/>
    </row>
    <row r="79" spans="1:19" ht="12.75">
      <c r="A79" s="28"/>
      <c r="B79" s="75"/>
      <c r="C79" s="34" t="s">
        <v>20</v>
      </c>
      <c r="D79" s="35"/>
      <c r="E79" s="36">
        <f>DEVSQ(E18:E75)</f>
        <v>2851.611034482759</v>
      </c>
      <c r="F79" s="28"/>
      <c r="G79" s="28"/>
      <c r="H79" s="28"/>
      <c r="I79" s="28"/>
      <c r="J79" s="49"/>
      <c r="K79" s="63" t="s">
        <v>141</v>
      </c>
      <c r="L79" s="99">
        <f>EXP(L76/100)</f>
        <v>24.374525745608718</v>
      </c>
      <c r="M79" s="99">
        <f>EXP(M76/100)</f>
        <v>21.88817841227226</v>
      </c>
      <c r="N79" s="49"/>
      <c r="O79" s="49"/>
      <c r="P79" s="54"/>
      <c r="Q79" s="49"/>
      <c r="R79" s="49"/>
      <c r="S79" s="3"/>
    </row>
    <row r="80" spans="1:19" ht="12.75">
      <c r="A80" s="28"/>
      <c r="B80" s="75"/>
      <c r="C80" s="75"/>
      <c r="D80" s="75"/>
      <c r="E80" s="75"/>
      <c r="F80" s="75"/>
      <c r="G80" s="75"/>
      <c r="H80" s="75"/>
      <c r="I80" s="75"/>
      <c r="J80" s="49"/>
      <c r="K80" s="53" t="s">
        <v>94</v>
      </c>
      <c r="L80" s="99">
        <f>(L81-1)*100</f>
        <v>43.97714863158539</v>
      </c>
      <c r="M80" s="99">
        <f>(M81-1)*100</f>
        <v>46.36896274121889</v>
      </c>
      <c r="N80" s="49"/>
      <c r="O80" s="49"/>
      <c r="P80" s="56"/>
      <c r="Q80" s="54"/>
      <c r="R80" s="49"/>
      <c r="S80" s="3"/>
    </row>
    <row r="81" spans="1:19" ht="12.75">
      <c r="A81" s="28"/>
      <c r="B81" s="29"/>
      <c r="C81" s="29"/>
      <c r="D81" s="29"/>
      <c r="E81" s="29"/>
      <c r="F81" s="29"/>
      <c r="G81" s="29"/>
      <c r="H81" s="29"/>
      <c r="I81" s="29"/>
      <c r="J81" s="49"/>
      <c r="K81" s="63" t="s">
        <v>121</v>
      </c>
      <c r="L81" s="100">
        <f>EXP(L77/100)</f>
        <v>1.439771486315854</v>
      </c>
      <c r="M81" s="100">
        <f>EXP(STDEV(M18:M75)/100)</f>
        <v>1.4636896274121889</v>
      </c>
      <c r="N81" s="49"/>
      <c r="O81" s="49"/>
      <c r="P81" s="49"/>
      <c r="Q81" s="49"/>
      <c r="R81" s="49"/>
      <c r="S81" s="7"/>
    </row>
    <row r="82" spans="1:18" ht="12.75">
      <c r="A82" s="28"/>
      <c r="B82" s="29"/>
      <c r="C82" s="29"/>
      <c r="D82" s="29"/>
      <c r="E82" s="29"/>
      <c r="F82" s="29"/>
      <c r="G82" s="29"/>
      <c r="H82" s="29"/>
      <c r="I82" s="29"/>
      <c r="J82" s="49"/>
      <c r="K82" s="53" t="s">
        <v>12</v>
      </c>
      <c r="L82" s="98">
        <f>COUNT(L18:L75)</f>
        <v>58</v>
      </c>
      <c r="M82" s="98">
        <f>COUNT(M18:M75)</f>
        <v>58</v>
      </c>
      <c r="N82" s="49"/>
      <c r="O82" s="97"/>
      <c r="P82" s="97"/>
      <c r="Q82" s="97"/>
      <c r="R82" s="49"/>
    </row>
    <row r="83" spans="1:18" ht="12.75">
      <c r="A83" s="28"/>
      <c r="B83" s="28"/>
      <c r="C83" s="28"/>
      <c r="D83" s="28"/>
      <c r="E83" s="28"/>
      <c r="F83" s="28"/>
      <c r="G83" s="28"/>
      <c r="H83" s="28"/>
      <c r="I83" s="28"/>
      <c r="J83" s="49"/>
      <c r="K83" s="90"/>
      <c r="L83" s="49"/>
      <c r="M83" s="49"/>
      <c r="N83" s="49"/>
      <c r="O83" s="49"/>
      <c r="P83" s="49"/>
      <c r="Q83" s="49"/>
      <c r="R83" s="49"/>
    </row>
    <row r="84" spans="1:18" ht="15">
      <c r="A84" s="28"/>
      <c r="B84" s="29"/>
      <c r="C84" s="29"/>
      <c r="D84" s="35"/>
      <c r="E84" s="28"/>
      <c r="F84" s="72"/>
      <c r="G84" s="73"/>
      <c r="H84" s="73"/>
      <c r="I84" s="74" t="s">
        <v>31</v>
      </c>
      <c r="J84" s="71">
        <v>90</v>
      </c>
      <c r="K84" s="49"/>
      <c r="L84" s="49"/>
      <c r="M84" s="49"/>
      <c r="N84" s="49"/>
      <c r="O84" s="49"/>
      <c r="P84" s="49"/>
      <c r="Q84" s="49"/>
      <c r="R84" s="49"/>
    </row>
    <row r="85" spans="1:18" s="2" customFormat="1" ht="15">
      <c r="A85" s="23"/>
      <c r="B85" s="23"/>
      <c r="C85" s="37" t="s">
        <v>9</v>
      </c>
      <c r="D85" s="23"/>
      <c r="E85" s="23"/>
      <c r="F85" s="38"/>
      <c r="G85" s="23"/>
      <c r="H85" s="23"/>
      <c r="I85" s="23"/>
      <c r="J85" s="46"/>
      <c r="K85" s="58" t="s">
        <v>10</v>
      </c>
      <c r="L85" s="46"/>
      <c r="M85" s="46"/>
      <c r="N85" s="46"/>
      <c r="O85" s="46"/>
      <c r="P85" s="46"/>
      <c r="Q85" s="46"/>
      <c r="R85" s="46"/>
    </row>
    <row r="86" spans="1:18" s="2" customFormat="1" ht="30" customHeight="1">
      <c r="A86" s="23"/>
      <c r="B86" s="104" t="s">
        <v>97</v>
      </c>
      <c r="C86" s="104"/>
      <c r="D86" s="104"/>
      <c r="E86" s="39" t="s">
        <v>98</v>
      </c>
      <c r="F86" s="40" t="s">
        <v>18</v>
      </c>
      <c r="G86" s="40" t="s">
        <v>19</v>
      </c>
      <c r="H86" s="40" t="s">
        <v>21</v>
      </c>
      <c r="I86" s="41" t="s">
        <v>23</v>
      </c>
      <c r="J86" s="105" t="s">
        <v>27</v>
      </c>
      <c r="K86" s="105"/>
      <c r="L86" s="105"/>
      <c r="M86" s="59" t="s">
        <v>98</v>
      </c>
      <c r="N86" s="60" t="s">
        <v>18</v>
      </c>
      <c r="O86" s="60" t="s">
        <v>19</v>
      </c>
      <c r="P86" s="61" t="s">
        <v>23</v>
      </c>
      <c r="Q86" s="60" t="s">
        <v>21</v>
      </c>
      <c r="R86" s="46"/>
    </row>
    <row r="87" spans="1:18" ht="12.75">
      <c r="A87" s="28"/>
      <c r="B87" s="28"/>
      <c r="C87" s="42"/>
      <c r="D87" s="43" t="s">
        <v>5</v>
      </c>
      <c r="E87" s="10">
        <f>INTERCEPT(D18:D75,E18:E75)</f>
        <v>2.710999439881057</v>
      </c>
      <c r="F87" s="10">
        <f>E87-TINV(1-$J$84/100,E78-2)*E112/E77/SQRT(E78-1)*SQRT(E79/E78+E76^2)</f>
        <v>0.6037956503351096</v>
      </c>
      <c r="G87" s="10">
        <f>E87+TINV(1-$J$84/100,E78-2)*E112/E77/SQRT(E78-1)*SQRT(E79/E78+E76^2)</f>
        <v>4.818203229427004</v>
      </c>
      <c r="H87" s="10">
        <f>(G87-F87)/2</f>
        <v>2.107203789545947</v>
      </c>
      <c r="I87" s="28"/>
      <c r="J87" s="49"/>
      <c r="K87" s="62"/>
      <c r="L87" s="63" t="s">
        <v>16</v>
      </c>
      <c r="M87" s="10">
        <f>EXP(INTERCEPT(L18:L75,M18:M75)/100)</f>
        <v>1.5522246186864253</v>
      </c>
      <c r="N87" s="10">
        <f>EXP((100*LN(M87)-TINV(1-$J$84/100,M82-2)*100*LN(M112)/M77/SQRT(M82-1)*SQRT(M78/M82+M76^2))/100)</f>
        <v>1.2213598138443482</v>
      </c>
      <c r="O87" s="10">
        <f>EXP((100*LN(M87)+TINV(1-$J$84/100,M82-2)*100*LN(M112)/M77/SQRT(M82-1)*SQRT(M78/M82+M76^2))/100)</f>
        <v>1.9727202741937238</v>
      </c>
      <c r="P87" s="11">
        <f>SQRT(O87/N87)</f>
        <v>1.2708987155886913</v>
      </c>
      <c r="Q87" s="49"/>
      <c r="R87" s="49"/>
    </row>
    <row r="88" spans="1:18" ht="12.75">
      <c r="A88" s="28"/>
      <c r="B88" s="28"/>
      <c r="C88" s="42"/>
      <c r="D88" s="43" t="s">
        <v>6</v>
      </c>
      <c r="E88" s="10">
        <f>SLOPE(D18:D75,E18:E75)</f>
        <v>0.9913936127091859</v>
      </c>
      <c r="F88" s="10">
        <f>E88-TINV(1-$J$84/100,E78-2)*E112/E77/SQRT(E78-1)</f>
        <v>0.9045683014855106</v>
      </c>
      <c r="G88" s="10">
        <f>E88+TINV(1-$J$84/100,E78-2)*E112/E77/SQRT(E78-1)</f>
        <v>1.0782189239328612</v>
      </c>
      <c r="H88" s="10">
        <f>(G88-F88)/2</f>
        <v>0.08682531122367532</v>
      </c>
      <c r="I88" s="28"/>
      <c r="J88" s="49"/>
      <c r="K88" s="62"/>
      <c r="L88" s="63" t="s">
        <v>17</v>
      </c>
      <c r="M88" s="10">
        <f>SLOPE(L18:L75,M18:M75)</f>
        <v>0.8923839893042892</v>
      </c>
      <c r="N88" s="10">
        <f>M88-TINV(1-$J$84/100,M82-2)*100*LN(M112)/M77/SQRT(M82-1)</f>
        <v>0.8152766879351228</v>
      </c>
      <c r="O88" s="10">
        <f>M88+TINV(1-$J$84/100,M82-2)*100*LN(M112)/M77/SQRT(M82-1)</f>
        <v>0.9694912906734556</v>
      </c>
      <c r="P88" s="12" t="s">
        <v>24</v>
      </c>
      <c r="Q88" s="10">
        <f>(O88-N88)/2</f>
        <v>0.07710730136916644</v>
      </c>
      <c r="R88" s="49"/>
    </row>
    <row r="89" spans="1:18" ht="12.75">
      <c r="A89" s="28"/>
      <c r="B89" s="28"/>
      <c r="C89" s="28"/>
      <c r="D89" s="29" t="s">
        <v>104</v>
      </c>
      <c r="E89" s="108">
        <v>10</v>
      </c>
      <c r="F89" s="28"/>
      <c r="G89" s="28"/>
      <c r="H89" s="28"/>
      <c r="I89" s="28"/>
      <c r="J89" s="49"/>
      <c r="K89" s="49"/>
      <c r="L89" s="53" t="s">
        <v>104</v>
      </c>
      <c r="M89" s="108">
        <v>10</v>
      </c>
      <c r="N89" s="49"/>
      <c r="O89" s="49"/>
      <c r="P89" s="66"/>
      <c r="Q89" s="49"/>
      <c r="R89" s="49"/>
    </row>
    <row r="90" spans="1:18" ht="12.75">
      <c r="A90" s="28"/>
      <c r="B90" s="28"/>
      <c r="C90" s="28"/>
      <c r="D90" s="29" t="s">
        <v>105</v>
      </c>
      <c r="E90" s="11">
        <f>E87+E88*E89</f>
        <v>12.624935566972916</v>
      </c>
      <c r="F90" s="11">
        <f>E90-TINV(1-$J$84/100,E78-2)*E112*SQRT(1+1/E78+1/(E78-1)*(E89-E76)^2/E77^2)</f>
        <v>7.809512476522593</v>
      </c>
      <c r="G90" s="11">
        <f>E90+TINV(1-$J$84/100,E78-2)*E112*SQRT(1+1/E78+1/(E78-1)*(E89-E76)^2/E77^2)</f>
        <v>17.44035865742324</v>
      </c>
      <c r="H90" s="11">
        <f>(G90-F90)/2</f>
        <v>4.815423090450324</v>
      </c>
      <c r="I90" s="28"/>
      <c r="J90" s="49"/>
      <c r="K90" s="49"/>
      <c r="L90" s="53" t="s">
        <v>105</v>
      </c>
      <c r="M90" s="11">
        <f>M87*M89^M88</f>
        <v>12.11542229451221</v>
      </c>
      <c r="N90" s="11">
        <f>EXP((100*LN(M90)-TINV(1-$J$84/100,M82-2)*100*LN(M112)*SQRT(1+1/M82+1/(M82-1)*(100*LN(M89)-M76)^2/M77^2))/100)</f>
        <v>9.609846492396164</v>
      </c>
      <c r="O90" s="11">
        <f>EXP((100*LN(M90)+TINV(1-$J$84/100,M82-2)*100*LN(M112)*SQRT(1+1/M82+1/(M82-1)*(100*LN(M89)-M76)^2/M77^2))/100)</f>
        <v>15.274277012698025</v>
      </c>
      <c r="P90" s="11">
        <f>SQRT(O90/N90)</f>
        <v>1.2607300547515086</v>
      </c>
      <c r="Q90" s="49"/>
      <c r="R90" s="49"/>
    </row>
    <row r="91" spans="1:18" ht="12.75">
      <c r="A91" s="28"/>
      <c r="B91" s="28"/>
      <c r="C91" s="28"/>
      <c r="D91" s="44" t="s">
        <v>103</v>
      </c>
      <c r="E91" s="28" t="s">
        <v>131</v>
      </c>
      <c r="F91" s="28"/>
      <c r="G91" s="28"/>
      <c r="H91" s="28"/>
      <c r="I91" s="28"/>
      <c r="J91" s="49"/>
      <c r="K91" s="49"/>
      <c r="L91" s="67" t="s">
        <v>103</v>
      </c>
      <c r="M91" s="49" t="s">
        <v>131</v>
      </c>
      <c r="N91" s="68"/>
      <c r="O91" s="68"/>
      <c r="P91" s="68"/>
      <c r="Q91" s="68"/>
      <c r="R91" s="68"/>
    </row>
    <row r="92" spans="1:18" ht="12.75">
      <c r="A92" s="28"/>
      <c r="B92" s="28"/>
      <c r="C92" s="28"/>
      <c r="D92" s="43" t="s">
        <v>26</v>
      </c>
      <c r="E92" s="11">
        <f>E89-E90</f>
        <v>-2.6249355669729155</v>
      </c>
      <c r="F92" s="11">
        <f>E92-TINV(1-$J$84/100,E78-2)*E112*SQRT(1/E78+1/(E78-1)*(E89-E76)^2/E77^2)</f>
        <v>-3.92533770967196</v>
      </c>
      <c r="G92" s="11">
        <f>E92+TINV(1-$J$84/100,E78-2)*E112*SQRT(1/E78+1/(E78-1)*(E89-E76)^2/E77^2)</f>
        <v>-1.3245334242738707</v>
      </c>
      <c r="H92" s="11">
        <f>(G92-F92)/2</f>
        <v>1.3004021426990446</v>
      </c>
      <c r="I92" s="28"/>
      <c r="J92" s="49"/>
      <c r="K92" s="49"/>
      <c r="L92" s="63" t="s">
        <v>34</v>
      </c>
      <c r="M92" s="11">
        <f>M89/M90</f>
        <v>0.8253942584015078</v>
      </c>
      <c r="N92" s="11">
        <f>EXP((100*LN(M92)-TINV(1-$J$84/100,M82-2)*100*LN(M112)*SQRT(1/M82+1/(M82-1)*(100*LN(M89)-M76)^2/M77^2))/100)</f>
        <v>0.7718614878932649</v>
      </c>
      <c r="O92" s="11">
        <f>EXP((100*LN(M92)+TINV(1-$J$84/100,M82-2)*100*LN(M112)*SQRT(1/M82+1/(M82-1)*(100*LN(M89)-M76)^2/M77^2))/100)</f>
        <v>0.8826398161950836</v>
      </c>
      <c r="P92" s="68"/>
      <c r="Q92" s="68"/>
      <c r="R92" s="68"/>
    </row>
    <row r="93" spans="1:18" ht="12.75">
      <c r="A93" s="28"/>
      <c r="B93" s="28"/>
      <c r="C93" s="28"/>
      <c r="D93" s="43" t="s">
        <v>28</v>
      </c>
      <c r="E93" s="11">
        <f>E92/$D$77</f>
        <v>-0.3485354420743504</v>
      </c>
      <c r="F93" s="11">
        <f>F92/$D$77</f>
        <v>-0.5212011034272184</v>
      </c>
      <c r="G93" s="11">
        <f>G92/$D$77</f>
        <v>-0.17586978072148235</v>
      </c>
      <c r="H93" s="11">
        <f>H92/$D$77</f>
        <v>0.172665661352868</v>
      </c>
      <c r="I93" s="28"/>
      <c r="J93" s="49"/>
      <c r="K93" s="49"/>
      <c r="L93" s="63" t="s">
        <v>32</v>
      </c>
      <c r="M93" s="13">
        <f>(M92-1)*100</f>
        <v>-17.46057415984922</v>
      </c>
      <c r="N93" s="13">
        <f>(N92-1)*100</f>
        <v>-22.81385121067351</v>
      </c>
      <c r="O93" s="13">
        <f>(O92-1)*100</f>
        <v>-11.736018380491641</v>
      </c>
      <c r="P93" s="11" t="s">
        <v>24</v>
      </c>
      <c r="Q93" s="13">
        <f>(O93-N93)/2</f>
        <v>5.538916415090934</v>
      </c>
      <c r="R93" s="68"/>
    </row>
    <row r="94" spans="1:18" ht="12.75">
      <c r="A94" s="28"/>
      <c r="B94" s="28"/>
      <c r="C94" s="28"/>
      <c r="D94" s="44"/>
      <c r="E94" s="28"/>
      <c r="F94" s="28"/>
      <c r="G94" s="28"/>
      <c r="H94" s="28"/>
      <c r="I94" s="28"/>
      <c r="J94" s="49"/>
      <c r="K94" s="49"/>
      <c r="L94" s="63" t="s">
        <v>28</v>
      </c>
      <c r="M94" s="11">
        <f>LN(M92)/LN($L$81)</f>
        <v>-0.5264810018493038</v>
      </c>
      <c r="N94" s="11">
        <f>LN(N92)/LN($L$81)</f>
        <v>-0.7104560774404376</v>
      </c>
      <c r="O94" s="11">
        <f>LN(O92)/LN($L$81)</f>
        <v>-0.34250592625817006</v>
      </c>
      <c r="P94" s="11" t="s">
        <v>24</v>
      </c>
      <c r="Q94" s="11">
        <f>(O94-N94)/2</f>
        <v>0.18397507559113377</v>
      </c>
      <c r="R94" s="49"/>
    </row>
    <row r="95" spans="1:18" ht="12.75" customHeight="1">
      <c r="A95" s="28"/>
      <c r="B95" s="28"/>
      <c r="C95" s="28"/>
      <c r="D95" s="44" t="s">
        <v>107</v>
      </c>
      <c r="E95" s="28" t="s">
        <v>131</v>
      </c>
      <c r="F95" s="28"/>
      <c r="G95" s="28"/>
      <c r="H95" s="28"/>
      <c r="I95" s="28"/>
      <c r="J95" s="49"/>
      <c r="K95" s="49"/>
      <c r="L95" s="67" t="s">
        <v>107</v>
      </c>
      <c r="M95" s="49" t="s">
        <v>131</v>
      </c>
      <c r="N95" s="49"/>
      <c r="O95" s="49"/>
      <c r="P95" s="49"/>
      <c r="Q95" s="49"/>
      <c r="R95" s="49"/>
    </row>
    <row r="96" spans="1:18" ht="12" customHeight="1">
      <c r="A96" s="28"/>
      <c r="B96" s="28"/>
      <c r="C96" s="28"/>
      <c r="D96" s="43" t="s">
        <v>108</v>
      </c>
      <c r="E96" s="11">
        <f>I76</f>
        <v>-2.511034482758621</v>
      </c>
      <c r="F96" s="11">
        <f>I76-TINV(1-$J$84/100,E78-1)*I77/SQRT(E78)</f>
        <v>-3.114444463775253</v>
      </c>
      <c r="G96" s="11">
        <f>I76+TINV(1-$J$84/100,E78-1)*I77/SQRT(E78)</f>
        <v>-1.907624501741989</v>
      </c>
      <c r="H96" s="11">
        <f>(G96-F96)/2</f>
        <v>0.603409981016632</v>
      </c>
      <c r="I96" s="28"/>
      <c r="J96" s="49"/>
      <c r="K96" s="49"/>
      <c r="L96" s="63" t="s">
        <v>111</v>
      </c>
      <c r="M96" s="11">
        <f>EXP(Q76/100)</f>
        <v>0.9030241535088563</v>
      </c>
      <c r="N96" s="11">
        <f>EXP((Q76-TINV(1-$J$84/100,M82-1)*Q77/SQRT(M82))/100)</f>
        <v>0.8742295808980248</v>
      </c>
      <c r="O96" s="15">
        <f>EXP((Q76+TINV(1-$J$84/100,M82-1)*Q77/SQRT(M82))/100)</f>
        <v>0.9327671353590421</v>
      </c>
      <c r="P96" s="49"/>
      <c r="Q96" s="49"/>
      <c r="R96" s="49"/>
    </row>
    <row r="97" spans="1:18" ht="12.75">
      <c r="A97" s="28"/>
      <c r="B97" s="28"/>
      <c r="C97" s="28"/>
      <c r="D97" s="43" t="s">
        <v>109</v>
      </c>
      <c r="E97" s="11">
        <f>E96/$D$77</f>
        <v>-0.3334118080930571</v>
      </c>
      <c r="F97" s="11">
        <f>F96/$D$77</f>
        <v>-0.413531780229454</v>
      </c>
      <c r="G97" s="11">
        <f>G96/$D$77</f>
        <v>-0.2532918359566602</v>
      </c>
      <c r="H97" s="11">
        <f>H96/$D$77</f>
        <v>0.0801199721363969</v>
      </c>
      <c r="I97" s="28"/>
      <c r="J97" s="49"/>
      <c r="K97" s="49"/>
      <c r="L97" s="63" t="s">
        <v>110</v>
      </c>
      <c r="M97" s="13">
        <f>(M96-1)*100</f>
        <v>-9.697584649114365</v>
      </c>
      <c r="N97" s="13">
        <f>(N96-1)*100</f>
        <v>-12.577041910197517</v>
      </c>
      <c r="O97" s="13">
        <f>(O96-1)*100</f>
        <v>-6.72328646409579</v>
      </c>
      <c r="P97" s="11" t="s">
        <v>24</v>
      </c>
      <c r="Q97" s="13">
        <f>(O97-N97)/2</f>
        <v>2.9268777230508634</v>
      </c>
      <c r="R97" s="49"/>
    </row>
    <row r="98" spans="1:18" ht="12.75">
      <c r="A98" s="28"/>
      <c r="B98" s="28"/>
      <c r="C98" s="28"/>
      <c r="D98" s="43" t="s">
        <v>112</v>
      </c>
      <c r="E98" s="11">
        <f>I77</f>
        <v>2.7484175285190533</v>
      </c>
      <c r="F98" s="11">
        <f>SQRT((E78-2)*E98^2/CHIINV((1-$J$84/100)/2,E78-2))</f>
        <v>2.3833670607202375</v>
      </c>
      <c r="G98" s="11">
        <f>SQRT((E78-2)*E98^2/CHIINV(1-(1-$J$84/100)/2,E78-2))</f>
        <v>3.260079692761547</v>
      </c>
      <c r="H98" s="11" t="s">
        <v>24</v>
      </c>
      <c r="I98" s="11">
        <f>SQRT(G98/F98)</f>
        <v>1.1695495921430248</v>
      </c>
      <c r="J98" s="49"/>
      <c r="K98" s="49"/>
      <c r="L98" s="63" t="s">
        <v>109</v>
      </c>
      <c r="M98" s="11">
        <f>Q76/L77</f>
        <v>-0.27986376039747307</v>
      </c>
      <c r="N98" s="11">
        <f>100*LN(N96)/L77</f>
        <v>-0.36877368527779847</v>
      </c>
      <c r="O98" s="11">
        <f>100*LN(O96)/L77</f>
        <v>-0.19095383551714784</v>
      </c>
      <c r="P98" s="11" t="s">
        <v>24</v>
      </c>
      <c r="Q98" s="11">
        <f>(O98-N98)/2</f>
        <v>0.08890992488032531</v>
      </c>
      <c r="R98" s="49"/>
    </row>
    <row r="99" spans="1:18" ht="12.75">
      <c r="A99" s="28"/>
      <c r="B99" s="28"/>
      <c r="C99" s="28"/>
      <c r="D99" s="43" t="s">
        <v>114</v>
      </c>
      <c r="E99" s="11">
        <f>E98/$D$77</f>
        <v>0.3649312121637939</v>
      </c>
      <c r="F99" s="11">
        <f>F98/D77</f>
        <v>0.3164602981442037</v>
      </c>
      <c r="G99" s="11">
        <f>G98/D77</f>
        <v>0.4328690316100175</v>
      </c>
      <c r="H99" s="11" t="s">
        <v>24</v>
      </c>
      <c r="I99" s="11">
        <f>SQRT(G99/F99)</f>
        <v>1.1695495921430248</v>
      </c>
      <c r="J99" s="49"/>
      <c r="K99" s="49"/>
      <c r="L99" s="63" t="s">
        <v>115</v>
      </c>
      <c r="M99" s="11">
        <f>EXP(Q77/100)</f>
        <v>1.1590543302109488</v>
      </c>
      <c r="N99" s="11">
        <f>EXP(SQRT((M82-2)*Q77^2/CHIINV((1-$J$84/100)/2,M82-2))/100)</f>
        <v>1.1365522239383423</v>
      </c>
      <c r="O99" s="11">
        <f>EXP(SQRT((M82-2)*Q77^2/CHIINV(1-(1-$J$84/100)/2,M82-2))/100)</f>
        <v>1.1913455499199361</v>
      </c>
      <c r="P99" s="49"/>
      <c r="Q99" s="65"/>
      <c r="R99" s="49"/>
    </row>
    <row r="100" spans="1:18" ht="12.75">
      <c r="A100" s="28"/>
      <c r="B100" s="28"/>
      <c r="C100" s="28"/>
      <c r="D100" s="28"/>
      <c r="E100" s="28"/>
      <c r="F100" s="28"/>
      <c r="G100" s="28"/>
      <c r="H100" s="28"/>
      <c r="I100" s="28"/>
      <c r="J100" s="49"/>
      <c r="K100" s="49"/>
      <c r="L100" s="63" t="s">
        <v>113</v>
      </c>
      <c r="M100" s="13">
        <f>(M99-1)*100</f>
        <v>15.905433021094883</v>
      </c>
      <c r="N100" s="13">
        <f>(N99-1)*100</f>
        <v>13.655222393834233</v>
      </c>
      <c r="O100" s="13">
        <f>(O99-1)*100</f>
        <v>19.134554991993614</v>
      </c>
      <c r="P100" s="11">
        <f>SQRT(O100/N100)</f>
        <v>1.1837494613481376</v>
      </c>
      <c r="Q100" s="65"/>
      <c r="R100" s="49"/>
    </row>
    <row r="101" spans="1:18" ht="12.75">
      <c r="A101" s="28"/>
      <c r="B101" s="28"/>
      <c r="C101" s="28"/>
      <c r="D101" s="43"/>
      <c r="E101" s="87"/>
      <c r="F101" s="87"/>
      <c r="G101" s="87"/>
      <c r="H101" s="28"/>
      <c r="I101" s="28"/>
      <c r="J101" s="49"/>
      <c r="K101" s="49"/>
      <c r="L101" s="63" t="s">
        <v>114</v>
      </c>
      <c r="M101" s="11">
        <f>Q77/L77</f>
        <v>0.40496777263892003</v>
      </c>
      <c r="N101" s="11">
        <f>100*LN(N99)/L77</f>
        <v>0.3511791203285341</v>
      </c>
      <c r="O101" s="11">
        <f>100*LN(O99)/L77</f>
        <v>0.4803590422865643</v>
      </c>
      <c r="P101" s="11">
        <f>SQRT(O101/N101)</f>
        <v>1.1695495921430243</v>
      </c>
      <c r="Q101" s="65"/>
      <c r="R101" s="49"/>
    </row>
    <row r="102" spans="1:18" ht="12.75">
      <c r="A102" s="28"/>
      <c r="B102" s="28"/>
      <c r="C102" s="28"/>
      <c r="D102" s="44" t="s">
        <v>118</v>
      </c>
      <c r="E102" s="28"/>
      <c r="F102" s="83" t="s">
        <v>126</v>
      </c>
      <c r="G102" s="83" t="s">
        <v>127</v>
      </c>
      <c r="H102" s="92" t="s">
        <v>138</v>
      </c>
      <c r="I102" s="39" t="s">
        <v>128</v>
      </c>
      <c r="J102" s="49"/>
      <c r="K102" s="49"/>
      <c r="L102" s="67" t="s">
        <v>118</v>
      </c>
      <c r="M102" s="49"/>
      <c r="N102" s="84" t="s">
        <v>126</v>
      </c>
      <c r="O102" s="84" t="s">
        <v>127</v>
      </c>
      <c r="P102" s="49"/>
      <c r="Q102" s="49"/>
      <c r="R102" s="49"/>
    </row>
    <row r="103" spans="1:18" ht="12.75">
      <c r="A103" s="28"/>
      <c r="B103" s="28"/>
      <c r="C103" s="28"/>
      <c r="D103" s="43" t="s">
        <v>133</v>
      </c>
      <c r="E103" s="88">
        <v>0.2</v>
      </c>
      <c r="F103" s="83" t="s">
        <v>129</v>
      </c>
      <c r="G103" s="83" t="s">
        <v>129</v>
      </c>
      <c r="H103" s="39" t="s">
        <v>137</v>
      </c>
      <c r="I103" s="39" t="s">
        <v>129</v>
      </c>
      <c r="J103" s="49"/>
      <c r="K103" s="49"/>
      <c r="L103" s="53" t="s">
        <v>133</v>
      </c>
      <c r="M103" s="9">
        <v>0.2</v>
      </c>
      <c r="N103" s="84" t="s">
        <v>129</v>
      </c>
      <c r="O103" s="84" t="s">
        <v>129</v>
      </c>
      <c r="P103" s="49"/>
      <c r="Q103" s="93" t="s">
        <v>138</v>
      </c>
      <c r="R103" s="49"/>
    </row>
    <row r="104" spans="1:18" ht="12.75">
      <c r="A104" s="28"/>
      <c r="B104" s="28"/>
      <c r="C104" s="28"/>
      <c r="D104" s="43" t="s">
        <v>134</v>
      </c>
      <c r="E104" s="89">
        <f>E103*D77</f>
        <v>1.5062660780495076</v>
      </c>
      <c r="F104" s="11">
        <f>SQRT(($E$78-2)*E104^2/CHIINV((1-$J$84/100)/2,$E$78-2))</f>
        <v>1.3062007201787382</v>
      </c>
      <c r="G104" s="11">
        <f>SQRT(($E$78-2)*E104^2/CHIINV(1-(1-$J$84/100)/2,$E$78-2))</f>
        <v>1.7866817548608633</v>
      </c>
      <c r="H104" s="11" t="s">
        <v>24</v>
      </c>
      <c r="I104" s="11">
        <f>SQRT(G104/F104)</f>
        <v>1.1695495921430248</v>
      </c>
      <c r="J104" s="49"/>
      <c r="K104" s="49"/>
      <c r="L104" s="63" t="s">
        <v>136</v>
      </c>
      <c r="M104" s="89">
        <f>EXP(M103*L77/100)</f>
        <v>1.07561961565384</v>
      </c>
      <c r="N104" s="11">
        <f>EXP(SQRT(($E$78-2)*LN(M104)^2/CHIINV((1-$J$84/100)/2,$E$78-2)))</f>
        <v>1.065255384849291</v>
      </c>
      <c r="O104" s="11">
        <f>EXP(SQRT(($E$78-2)*LN(M104)^2/CHIINV(1-(1-$J$84/100)/2,$E$78-2)))</f>
        <v>1.090316270121302</v>
      </c>
      <c r="P104" s="49"/>
      <c r="Q104" s="84" t="s">
        <v>137</v>
      </c>
      <c r="R104" s="49"/>
    </row>
    <row r="105" spans="1:18" ht="12.75">
      <c r="A105" s="28"/>
      <c r="B105" s="28"/>
      <c r="C105" s="28"/>
      <c r="D105" s="43" t="s">
        <v>132</v>
      </c>
      <c r="E105" s="95"/>
      <c r="F105" s="28"/>
      <c r="G105" s="28"/>
      <c r="H105" s="28"/>
      <c r="I105" s="28"/>
      <c r="J105" s="49"/>
      <c r="K105" s="49"/>
      <c r="L105" s="63" t="s">
        <v>135</v>
      </c>
      <c r="M105" s="13">
        <f>(M104-1)*100</f>
        <v>7.561961565384001</v>
      </c>
      <c r="N105" s="13">
        <f>(N104-1)*100</f>
        <v>6.525538484929094</v>
      </c>
      <c r="O105" s="13">
        <f>(O104-1)*100</f>
        <v>9.031627012130205</v>
      </c>
      <c r="P105" s="11" t="s">
        <v>24</v>
      </c>
      <c r="Q105" s="13">
        <f>(O105-N105)/2</f>
        <v>1.2530442636005552</v>
      </c>
      <c r="R105" s="49"/>
    </row>
    <row r="106" spans="1:18" ht="12.75">
      <c r="A106" s="28"/>
      <c r="B106" s="28"/>
      <c r="C106" s="28"/>
      <c r="D106" s="43" t="s">
        <v>130</v>
      </c>
      <c r="E106" s="11">
        <f>IF(ISBLANK(E105),E104,E105)/E88</f>
        <v>1.519342124802809</v>
      </c>
      <c r="F106" s="11">
        <f>IF(ISBLANK(E105),F104,E105)/G88</f>
        <v>1.2114429557721926</v>
      </c>
      <c r="G106" s="11">
        <f>IF(ISBLANK(E105),G104,E105)/F88</f>
        <v>1.9751761718011986</v>
      </c>
      <c r="H106" s="11">
        <f>(G106-F106)/2</f>
        <v>0.381866608014503</v>
      </c>
      <c r="I106" s="28"/>
      <c r="J106" s="49"/>
      <c r="K106" s="49"/>
      <c r="L106" s="63" t="s">
        <v>139</v>
      </c>
      <c r="M106" s="96"/>
      <c r="N106" s="62">
        <f>IF(ISNUMBER(M107)*ISNUMBER(M106),"Delete one of these!","")</f>
      </c>
      <c r="O106" s="49"/>
      <c r="P106" s="49"/>
      <c r="Q106" s="49"/>
      <c r="R106" s="49"/>
    </row>
    <row r="107" spans="1:18" ht="12.75">
      <c r="A107" s="28"/>
      <c r="B107" s="28"/>
      <c r="C107" s="28"/>
      <c r="D107" s="43"/>
      <c r="E107" s="43"/>
      <c r="F107" s="43"/>
      <c r="G107" s="43"/>
      <c r="H107" s="43"/>
      <c r="I107" s="28"/>
      <c r="J107" s="49"/>
      <c r="K107" s="49"/>
      <c r="L107" s="63" t="s">
        <v>140</v>
      </c>
      <c r="M107" s="96"/>
      <c r="N107" s="62">
        <f>IF(ISNUMBER(M107)*ISNUMBER(M106),"Delete one of these!","")</f>
      </c>
      <c r="O107" s="49"/>
      <c r="P107" s="49"/>
      <c r="Q107" s="49"/>
      <c r="R107" s="49"/>
    </row>
    <row r="108" spans="1:18" ht="12.75">
      <c r="A108" s="28"/>
      <c r="B108" s="28"/>
      <c r="C108" s="28"/>
      <c r="D108" s="28"/>
      <c r="E108" s="43"/>
      <c r="F108" s="43"/>
      <c r="G108" s="43"/>
      <c r="H108" s="43"/>
      <c r="I108" s="28"/>
      <c r="J108" s="49"/>
      <c r="K108" s="49"/>
      <c r="L108" s="63" t="s">
        <v>120</v>
      </c>
      <c r="M108" s="11">
        <f>EXP(LN(IF(ISBLANK(M107),IF(ISBLANK(M106),M104,M106),1+M107/100))/M88)</f>
        <v>1.0851169801919351</v>
      </c>
      <c r="N108" s="11">
        <f>EXP(LN(IF(ISBLANK(M107),IF(ISBLANK(M106),N104,M106),1+M107/100))/O88)</f>
        <v>1.0673765910009836</v>
      </c>
      <c r="O108" s="11">
        <f>EXP(LN(IF(ISBLANK(M107),IF(ISBLANK(M106),O104,1+M106/100),1+M107/100))/N88)</f>
        <v>1.1118879941591877</v>
      </c>
      <c r="P108" s="49"/>
      <c r="Q108" s="49"/>
      <c r="R108" s="49"/>
    </row>
    <row r="109" spans="1:18" ht="12.75">
      <c r="A109" s="28"/>
      <c r="B109" s="28"/>
      <c r="C109" s="28"/>
      <c r="D109" s="43"/>
      <c r="E109" s="43"/>
      <c r="F109" s="43"/>
      <c r="G109" s="43"/>
      <c r="H109" s="43"/>
      <c r="I109" s="28"/>
      <c r="J109" s="49"/>
      <c r="K109" s="49"/>
      <c r="L109" s="63" t="s">
        <v>119</v>
      </c>
      <c r="M109" s="13">
        <f>100*M108-100</f>
        <v>8.511698019193517</v>
      </c>
      <c r="N109" s="13">
        <f>100*N108-100</f>
        <v>6.737659100098355</v>
      </c>
      <c r="O109" s="13">
        <f>100*O108-100</f>
        <v>11.188799415918766</v>
      </c>
      <c r="P109" s="11" t="s">
        <v>24</v>
      </c>
      <c r="Q109" s="13">
        <f>(O109-N109)/2</f>
        <v>2.225570157910205</v>
      </c>
      <c r="R109" s="49"/>
    </row>
    <row r="110" spans="1:18" ht="12.75">
      <c r="A110" s="28"/>
      <c r="B110" s="28"/>
      <c r="C110" s="28"/>
      <c r="D110" s="28"/>
      <c r="E110" s="28"/>
      <c r="F110" s="83" t="s">
        <v>126</v>
      </c>
      <c r="G110" s="83" t="s">
        <v>127</v>
      </c>
      <c r="H110" s="28"/>
      <c r="I110" s="39" t="s">
        <v>128</v>
      </c>
      <c r="J110" s="49"/>
      <c r="K110" s="49"/>
      <c r="L110" s="67"/>
      <c r="M110" s="49"/>
      <c r="N110" s="84" t="s">
        <v>126</v>
      </c>
      <c r="O110" s="84" t="s">
        <v>127</v>
      </c>
      <c r="P110" s="59" t="s">
        <v>128</v>
      </c>
      <c r="Q110" s="70"/>
      <c r="R110" s="49"/>
    </row>
    <row r="111" spans="1:18" ht="12.75" customHeight="1">
      <c r="A111" s="28"/>
      <c r="B111" s="28"/>
      <c r="C111" s="28"/>
      <c r="D111" s="44" t="s">
        <v>100</v>
      </c>
      <c r="E111" s="39" t="s">
        <v>98</v>
      </c>
      <c r="F111" s="83" t="s">
        <v>129</v>
      </c>
      <c r="G111" s="83" t="s">
        <v>129</v>
      </c>
      <c r="H111" s="28"/>
      <c r="I111" s="39" t="s">
        <v>129</v>
      </c>
      <c r="J111" s="49"/>
      <c r="K111" s="49"/>
      <c r="L111" s="67" t="s">
        <v>100</v>
      </c>
      <c r="M111" s="91" t="s">
        <v>98</v>
      </c>
      <c r="N111" s="84" t="s">
        <v>129</v>
      </c>
      <c r="O111" s="84" t="s">
        <v>129</v>
      </c>
      <c r="P111" s="59" t="s">
        <v>129</v>
      </c>
      <c r="Q111" s="60"/>
      <c r="R111" s="49"/>
    </row>
    <row r="112" spans="1:18" ht="12.75" customHeight="1">
      <c r="A112" s="28"/>
      <c r="B112" s="28"/>
      <c r="C112" s="28"/>
      <c r="D112" s="43" t="s">
        <v>26</v>
      </c>
      <c r="E112" s="14">
        <f>STEYX(D18:D75,E18:E75)</f>
        <v>2.7721681798748623</v>
      </c>
      <c r="F112" s="11">
        <f>SQRT(($E$78-2)*E112^2/CHIINV((1-$J$84/100)/2,$E$78-2))</f>
        <v>2.4039631017237264</v>
      </c>
      <c r="G112" s="11">
        <f>SQRT(($E$78-2)*E112^2/CHIINV(1-(1-$J$84/100)/2,$E$78-2))</f>
        <v>3.288251910181749</v>
      </c>
      <c r="H112" s="11" t="s">
        <v>24</v>
      </c>
      <c r="I112" s="11">
        <f>SQRT(G112/F112)</f>
        <v>1.1695495921430248</v>
      </c>
      <c r="J112" s="62"/>
      <c r="K112" s="62"/>
      <c r="L112" s="63" t="s">
        <v>101</v>
      </c>
      <c r="M112" s="14">
        <f>EXP(STEYX(L18:L75,M18:M75)/100)</f>
        <v>1.1417922527432396</v>
      </c>
      <c r="N112" s="11">
        <f>EXP(SQRT((M82-2)*LN(M112)^2/CHIINV((1-$J$84/100)/2,M82-2)))</f>
        <v>1.1218589472377496</v>
      </c>
      <c r="O112" s="11">
        <f>EXP(SQRT((M82-2)*LN(M112)^2/CHIINV(1-(1-$J$84/100)/2,M82-2)))</f>
        <v>1.170328701837947</v>
      </c>
      <c r="P112" s="49"/>
      <c r="Q112" s="69"/>
      <c r="R112" s="49"/>
    </row>
    <row r="113" spans="1:18" ht="12.75">
      <c r="A113" s="28"/>
      <c r="B113" s="28"/>
      <c r="C113" s="28"/>
      <c r="D113" s="43" t="s">
        <v>28</v>
      </c>
      <c r="E113" s="14">
        <f>SQRT(1/E117^2-1)</f>
        <v>0.39185223472578007</v>
      </c>
      <c r="F113" s="11">
        <f>SQRT(1/G117^2-1)</f>
        <v>0.3097972479005918</v>
      </c>
      <c r="G113" s="11">
        <f>SQRT(1/F117^2-1)</f>
        <v>0.4994758156292975</v>
      </c>
      <c r="H113" s="11" t="s">
        <v>24</v>
      </c>
      <c r="I113" s="11">
        <f>SQRT(G113/F113)</f>
        <v>1.2697506817844777</v>
      </c>
      <c r="J113" s="62"/>
      <c r="K113" s="62"/>
      <c r="L113" s="63" t="s">
        <v>22</v>
      </c>
      <c r="M113" s="13">
        <f>(M112-1)*100</f>
        <v>14.179225274323958</v>
      </c>
      <c r="N113" s="13">
        <f>(N112-1)*100</f>
        <v>12.18589472377496</v>
      </c>
      <c r="O113" s="13">
        <f>(O112-1)*100</f>
        <v>17.032870183794692</v>
      </c>
      <c r="P113" s="11">
        <f>SQRT(O113/N113)</f>
        <v>1.1822660193811192</v>
      </c>
      <c r="Q113" s="64"/>
      <c r="R113" s="49"/>
    </row>
    <row r="114" spans="1:18" ht="12.75">
      <c r="A114" s="28"/>
      <c r="B114" s="28"/>
      <c r="C114" s="28"/>
      <c r="D114" s="28"/>
      <c r="E114" s="28"/>
      <c r="F114" s="28"/>
      <c r="G114" s="28"/>
      <c r="H114" s="28"/>
      <c r="I114" s="28"/>
      <c r="J114" s="49"/>
      <c r="K114" s="49"/>
      <c r="L114" s="63" t="s">
        <v>28</v>
      </c>
      <c r="M114" s="14">
        <f>SQRT(1/M117^2-1)</f>
        <v>0.38660354294013555</v>
      </c>
      <c r="N114" s="11">
        <f>SQRT(1/O117^2-1)</f>
        <v>0.3057505544146989</v>
      </c>
      <c r="O114" s="11">
        <f>SQRT(1/N117^2-1)</f>
        <v>0.4925182902273266</v>
      </c>
      <c r="P114" s="11">
        <f>SQRT(O114/N114)</f>
        <v>1.2691926692021478</v>
      </c>
      <c r="Q114" s="70"/>
      <c r="R114" s="49"/>
    </row>
    <row r="115" spans="1:18" ht="12.75" customHeight="1">
      <c r="A115" s="28"/>
      <c r="B115" s="28"/>
      <c r="C115" s="28"/>
      <c r="D115" s="28"/>
      <c r="E115" s="28"/>
      <c r="F115" s="83" t="s">
        <v>126</v>
      </c>
      <c r="G115" s="83" t="s">
        <v>127</v>
      </c>
      <c r="H115" s="92" t="s">
        <v>138</v>
      </c>
      <c r="I115" s="28"/>
      <c r="J115" s="49"/>
      <c r="K115" s="49"/>
      <c r="L115" s="63"/>
      <c r="M115" s="63"/>
      <c r="N115" s="84" t="s">
        <v>126</v>
      </c>
      <c r="O115" s="84" t="s">
        <v>127</v>
      </c>
      <c r="P115" s="63"/>
      <c r="Q115" s="93" t="s">
        <v>138</v>
      </c>
      <c r="R115" s="49"/>
    </row>
    <row r="116" spans="1:18" ht="12.75" customHeight="1">
      <c r="A116" s="28"/>
      <c r="B116" s="28"/>
      <c r="C116" s="28"/>
      <c r="D116" s="28"/>
      <c r="E116" s="39" t="s">
        <v>98</v>
      </c>
      <c r="F116" s="83" t="s">
        <v>129</v>
      </c>
      <c r="G116" s="83" t="s">
        <v>129</v>
      </c>
      <c r="H116" s="39" t="s">
        <v>137</v>
      </c>
      <c r="I116" s="28"/>
      <c r="J116" s="49"/>
      <c r="K116" s="49"/>
      <c r="L116" s="49"/>
      <c r="M116" s="59" t="s">
        <v>98</v>
      </c>
      <c r="N116" s="84" t="s">
        <v>129</v>
      </c>
      <c r="O116" s="84" t="s">
        <v>129</v>
      </c>
      <c r="P116" s="49"/>
      <c r="Q116" s="84" t="s">
        <v>137</v>
      </c>
      <c r="R116" s="49"/>
    </row>
    <row r="117" spans="1:18" ht="12.75" customHeight="1">
      <c r="A117" s="28"/>
      <c r="B117" s="28"/>
      <c r="C117" s="28"/>
      <c r="D117" s="44" t="s">
        <v>30</v>
      </c>
      <c r="E117" s="14">
        <f>CORREL(E18:E75,D18:D75)</f>
        <v>0.9310695680564082</v>
      </c>
      <c r="F117" s="11">
        <f>(EXP(2*(0.5*LN((1+E117)/(1-E117))-NORMINV(1-(1-J84/100)/2,0,1)/SQRT(COUNT(E18:E75)-3)))-1)/(EXP(2*(0.5*LN((1+E117)/(1-E117))-NORMINV(1-(1-J84/100)/2,0,1)/SQRT(COUNT(E18:E75)-3)))+1)</f>
        <v>0.8946146895386101</v>
      </c>
      <c r="G117" s="11">
        <f>(EXP(2*(0.5*LN((1+E117)/(1-E117))+NORMINV(1-(1-J84/100)/2,0,1)/SQRT(COUNT(E18:E75)-3)))-1)/(EXP(2*(0.5*LN((1+E117)/(1-E117))+NORMINV(1-(1-J84/100)/2,0,1)/SQRT(COUNT(E18:E75)-3)))+1)</f>
        <v>0.9552120841125055</v>
      </c>
      <c r="H117" s="15">
        <f>(G117-F117)/2</f>
        <v>0.030298697286947673</v>
      </c>
      <c r="I117" s="28"/>
      <c r="J117" s="62"/>
      <c r="K117" s="62"/>
      <c r="L117" s="67" t="s">
        <v>30</v>
      </c>
      <c r="M117" s="14">
        <f>CORREL(L18:L75,M18:M75)</f>
        <v>0.9327228883627198</v>
      </c>
      <c r="N117" s="11">
        <f>(EXP(2*(0.5*LN((1+M117)/(1-M117))-NORMINV(1-(1-J84/100)/2,0,1)/SQRT(COUNT(M18:M75)-3)))-1)/(EXP(2*(0.5*LN((1+M117)/(1-M117))-NORMINV(1-(1-J84/100)/2,0,1)/SQRT(COUNT(M18:M75)-3)))+1)</f>
        <v>0.8970957980091694</v>
      </c>
      <c r="O117" s="11">
        <f>(EXP(2*(0.5*LN((1+M117)/(1-M117))+NORMINV(1-(1-J84/100)/2,0,1)/SQRT(COUNT(M18:M75)-3)))-1)/(EXP(2*(0.5*LN((1+M117)/(1-M117))+NORMINV(1-(1-J84/100)/2,0,1)/SQRT(COUNT(M18:M75)-3)))+1)</f>
        <v>0.9562994422152377</v>
      </c>
      <c r="P117" s="11" t="s">
        <v>24</v>
      </c>
      <c r="Q117" s="15">
        <f>(O117-N117)/2</f>
        <v>0.029601822103034137</v>
      </c>
      <c r="R117" s="49"/>
    </row>
    <row r="118" spans="1:18" ht="12.75">
      <c r="A118" s="28"/>
      <c r="B118" s="28"/>
      <c r="C118" s="28"/>
      <c r="D118" s="28"/>
      <c r="E118" s="45"/>
      <c r="F118" s="45"/>
      <c r="G118" s="28"/>
      <c r="H118" s="28"/>
      <c r="I118" s="28"/>
      <c r="J118" s="49"/>
      <c r="K118" s="49"/>
      <c r="L118" s="49"/>
      <c r="M118" s="70"/>
      <c r="N118" s="70"/>
      <c r="O118" s="70"/>
      <c r="P118" s="49"/>
      <c r="Q118" s="49"/>
      <c r="R118" s="49"/>
    </row>
    <row r="119" spans="1:18" ht="12" customHeight="1">
      <c r="A119" s="28"/>
      <c r="B119" s="28"/>
      <c r="C119" s="28"/>
      <c r="D119" s="29" t="s">
        <v>102</v>
      </c>
      <c r="E119" s="39" t="s">
        <v>98</v>
      </c>
      <c r="F119" s="45"/>
      <c r="G119" s="45"/>
      <c r="H119" s="28"/>
      <c r="I119" s="28"/>
      <c r="J119" s="49"/>
      <c r="K119" s="49"/>
      <c r="L119" s="53" t="s">
        <v>102</v>
      </c>
      <c r="M119" s="59" t="s">
        <v>98</v>
      </c>
      <c r="N119" s="70"/>
      <c r="O119" s="70"/>
      <c r="P119" s="49"/>
      <c r="Q119" s="49"/>
      <c r="R119" s="49"/>
    </row>
    <row r="120" spans="1:18" ht="12.75">
      <c r="A120" s="28"/>
      <c r="B120" s="28"/>
      <c r="C120" s="28"/>
      <c r="D120" s="43" t="s">
        <v>124</v>
      </c>
      <c r="E120" s="11">
        <f>I77*1.96</f>
        <v>5.386898355897344</v>
      </c>
      <c r="F120" s="45"/>
      <c r="G120" s="45"/>
      <c r="H120" s="28"/>
      <c r="I120" s="28"/>
      <c r="J120" s="49"/>
      <c r="K120" s="49"/>
      <c r="L120" s="63" t="s">
        <v>123</v>
      </c>
      <c r="M120" s="11">
        <f>EXP(Q77*1.96/100)</f>
        <v>1.3354985963197274</v>
      </c>
      <c r="N120" s="70"/>
      <c r="O120" s="70"/>
      <c r="P120" s="49"/>
      <c r="Q120" s="49"/>
      <c r="R120" s="49"/>
    </row>
    <row r="121" spans="1:18" ht="15" customHeight="1">
      <c r="A121" s="28"/>
      <c r="B121" s="28"/>
      <c r="C121" s="28"/>
      <c r="D121" s="28"/>
      <c r="E121" s="28"/>
      <c r="F121" s="28"/>
      <c r="G121" s="28"/>
      <c r="H121" s="28"/>
      <c r="I121" s="28"/>
      <c r="J121" s="49"/>
      <c r="K121" s="49"/>
      <c r="L121" s="49"/>
      <c r="M121" s="49"/>
      <c r="N121" s="49"/>
      <c r="O121" s="49"/>
      <c r="P121" s="49"/>
      <c r="Q121" s="49"/>
      <c r="R121" s="49"/>
    </row>
    <row r="122" spans="1:18" ht="12.75">
      <c r="A122" s="28"/>
      <c r="B122" s="28"/>
      <c r="C122" s="28"/>
      <c r="D122" s="28"/>
      <c r="E122" s="28"/>
      <c r="F122" s="28"/>
      <c r="G122" s="28"/>
      <c r="H122" s="28"/>
      <c r="I122" s="28"/>
      <c r="J122" s="49"/>
      <c r="K122" s="49"/>
      <c r="L122" s="49"/>
      <c r="M122" s="49"/>
      <c r="N122" s="49"/>
      <c r="O122" s="49"/>
      <c r="P122" s="49"/>
      <c r="Q122" s="49"/>
      <c r="R122" s="49"/>
    </row>
    <row r="123" spans="1:18" ht="12.75">
      <c r="A123" s="28"/>
      <c r="B123" s="28"/>
      <c r="C123" s="28"/>
      <c r="D123" s="28"/>
      <c r="E123" s="28"/>
      <c r="F123" s="28"/>
      <c r="G123" s="28"/>
      <c r="H123" s="28"/>
      <c r="I123" s="28"/>
      <c r="J123" s="49"/>
      <c r="K123" s="49"/>
      <c r="L123" s="49"/>
      <c r="M123" s="49"/>
      <c r="N123" s="49"/>
      <c r="O123" s="49"/>
      <c r="P123" s="49"/>
      <c r="Q123" s="49"/>
      <c r="R123" s="49"/>
    </row>
    <row r="124" spans="1:18" ht="12.75">
      <c r="A124" s="28"/>
      <c r="B124" s="28"/>
      <c r="C124" s="28"/>
      <c r="D124" s="28"/>
      <c r="E124" s="28"/>
      <c r="F124" s="28"/>
      <c r="G124" s="28"/>
      <c r="H124" s="28"/>
      <c r="I124" s="28"/>
      <c r="J124" s="49"/>
      <c r="K124" s="49"/>
      <c r="L124" s="49"/>
      <c r="M124" s="49"/>
      <c r="N124" s="49"/>
      <c r="O124" s="49"/>
      <c r="P124" s="49"/>
      <c r="Q124" s="49"/>
      <c r="R124" s="49"/>
    </row>
    <row r="125" spans="1:18" ht="12.75">
      <c r="A125" s="28"/>
      <c r="B125" s="28"/>
      <c r="C125" s="28"/>
      <c r="D125" s="28"/>
      <c r="E125" s="28"/>
      <c r="F125" s="28"/>
      <c r="G125" s="28"/>
      <c r="H125" s="28"/>
      <c r="I125" s="28"/>
      <c r="J125" s="49"/>
      <c r="K125" s="49"/>
      <c r="L125" s="49"/>
      <c r="M125" s="49"/>
      <c r="N125" s="49"/>
      <c r="O125" s="49"/>
      <c r="P125" s="49"/>
      <c r="Q125" s="49"/>
      <c r="R125" s="49"/>
    </row>
    <row r="126" spans="1:18" ht="12.75">
      <c r="A126" s="28"/>
      <c r="B126" s="28"/>
      <c r="C126" s="28"/>
      <c r="D126" s="28"/>
      <c r="E126" s="28"/>
      <c r="F126" s="28"/>
      <c r="G126" s="28"/>
      <c r="H126" s="28"/>
      <c r="I126" s="28"/>
      <c r="J126" s="49"/>
      <c r="K126" s="49"/>
      <c r="L126" s="49"/>
      <c r="M126" s="49"/>
      <c r="N126" s="49"/>
      <c r="O126" s="49"/>
      <c r="P126" s="49"/>
      <c r="Q126" s="49"/>
      <c r="R126" s="49"/>
    </row>
    <row r="127" spans="1:18" ht="12.75">
      <c r="A127" s="28"/>
      <c r="B127" s="28"/>
      <c r="C127" s="28"/>
      <c r="D127" s="28"/>
      <c r="E127" s="28"/>
      <c r="F127" s="28"/>
      <c r="G127" s="28"/>
      <c r="H127" s="28"/>
      <c r="I127" s="28"/>
      <c r="J127" s="49"/>
      <c r="K127" s="49"/>
      <c r="L127" s="49"/>
      <c r="M127" s="49"/>
      <c r="N127" s="49"/>
      <c r="O127" s="49"/>
      <c r="P127" s="49"/>
      <c r="Q127" s="49"/>
      <c r="R127" s="49"/>
    </row>
    <row r="128" spans="1:18" ht="12.75">
      <c r="A128" s="28"/>
      <c r="B128" s="28"/>
      <c r="C128" s="28"/>
      <c r="D128" s="28"/>
      <c r="E128" s="28"/>
      <c r="F128" s="28"/>
      <c r="G128" s="28"/>
      <c r="H128" s="28"/>
      <c r="I128" s="28"/>
      <c r="J128" s="49"/>
      <c r="K128" s="49"/>
      <c r="L128" s="49"/>
      <c r="M128" s="49"/>
      <c r="N128" s="49"/>
      <c r="O128" s="49"/>
      <c r="P128" s="49"/>
      <c r="Q128" s="49"/>
      <c r="R128" s="49"/>
    </row>
    <row r="129" spans="1:18" ht="12.75">
      <c r="A129" s="28"/>
      <c r="B129" s="28"/>
      <c r="C129" s="28"/>
      <c r="D129" s="28"/>
      <c r="E129" s="28"/>
      <c r="F129" s="28"/>
      <c r="G129" s="28"/>
      <c r="H129" s="28"/>
      <c r="I129" s="28"/>
      <c r="J129" s="49"/>
      <c r="K129" s="49"/>
      <c r="L129" s="49"/>
      <c r="M129" s="49"/>
      <c r="N129" s="49"/>
      <c r="O129" s="49"/>
      <c r="P129" s="49"/>
      <c r="Q129" s="49"/>
      <c r="R129" s="49"/>
    </row>
    <row r="130" spans="1:18" ht="12.75">
      <c r="A130" s="28"/>
      <c r="B130" s="28"/>
      <c r="C130" s="28"/>
      <c r="D130" s="28"/>
      <c r="E130" s="28"/>
      <c r="F130" s="28"/>
      <c r="G130" s="28"/>
      <c r="H130" s="28"/>
      <c r="I130" s="28"/>
      <c r="J130" s="49"/>
      <c r="K130" s="49"/>
      <c r="L130" s="49"/>
      <c r="M130" s="49"/>
      <c r="N130" s="49"/>
      <c r="O130" s="49"/>
      <c r="P130" s="49"/>
      <c r="Q130" s="49"/>
      <c r="R130" s="49"/>
    </row>
    <row r="131" spans="1:18" ht="12.75">
      <c r="A131" s="28"/>
      <c r="B131" s="28"/>
      <c r="C131" s="28"/>
      <c r="D131" s="28"/>
      <c r="E131" s="28"/>
      <c r="F131" s="28"/>
      <c r="G131" s="28"/>
      <c r="H131" s="28"/>
      <c r="I131" s="28"/>
      <c r="J131" s="49"/>
      <c r="K131" s="49"/>
      <c r="L131" s="49"/>
      <c r="M131" s="49"/>
      <c r="N131" s="49"/>
      <c r="O131" s="49"/>
      <c r="P131" s="49"/>
      <c r="Q131" s="49"/>
      <c r="R131" s="49"/>
    </row>
    <row r="132" spans="1:18" ht="12.75">
      <c r="A132" s="28"/>
      <c r="B132" s="28"/>
      <c r="C132" s="28"/>
      <c r="D132" s="28"/>
      <c r="E132" s="28"/>
      <c r="F132" s="28"/>
      <c r="G132" s="28"/>
      <c r="H132" s="28"/>
      <c r="I132" s="28"/>
      <c r="J132" s="49"/>
      <c r="K132" s="49"/>
      <c r="L132" s="49"/>
      <c r="M132" s="49"/>
      <c r="N132" s="49"/>
      <c r="O132" s="49"/>
      <c r="P132" s="49"/>
      <c r="Q132" s="49"/>
      <c r="R132" s="49"/>
    </row>
    <row r="133" spans="1:18" ht="12.75">
      <c r="A133" s="28"/>
      <c r="B133" s="28"/>
      <c r="C133" s="28"/>
      <c r="D133" s="28"/>
      <c r="E133" s="28"/>
      <c r="F133" s="28"/>
      <c r="G133" s="28"/>
      <c r="H133" s="28"/>
      <c r="I133" s="28"/>
      <c r="J133" s="49"/>
      <c r="K133" s="49"/>
      <c r="L133" s="49"/>
      <c r="M133" s="49"/>
      <c r="N133" s="49"/>
      <c r="O133" s="49"/>
      <c r="P133" s="49"/>
      <c r="Q133" s="49"/>
      <c r="R133" s="49"/>
    </row>
    <row r="134" spans="1:18" ht="12.75">
      <c r="A134" s="28"/>
      <c r="B134" s="28"/>
      <c r="C134" s="28"/>
      <c r="D134" s="28"/>
      <c r="E134" s="28"/>
      <c r="F134" s="28"/>
      <c r="G134" s="28"/>
      <c r="H134" s="28"/>
      <c r="I134" s="28"/>
      <c r="J134" s="49"/>
      <c r="K134" s="49"/>
      <c r="L134" s="49"/>
      <c r="M134" s="49"/>
      <c r="N134" s="49"/>
      <c r="O134" s="49"/>
      <c r="P134" s="49"/>
      <c r="Q134" s="49"/>
      <c r="R134" s="49"/>
    </row>
    <row r="135" spans="1:18" ht="12.75">
      <c r="A135" s="28"/>
      <c r="B135" s="28"/>
      <c r="C135" s="28"/>
      <c r="D135" s="28"/>
      <c r="E135" s="28"/>
      <c r="F135" s="28"/>
      <c r="G135" s="28"/>
      <c r="H135" s="28"/>
      <c r="I135" s="28"/>
      <c r="J135" s="49"/>
      <c r="K135" s="49"/>
      <c r="L135" s="49"/>
      <c r="M135" s="49"/>
      <c r="N135" s="49"/>
      <c r="O135" s="49"/>
      <c r="P135" s="49"/>
      <c r="Q135" s="49"/>
      <c r="R135" s="49"/>
    </row>
    <row r="136" spans="1:18" ht="12.75">
      <c r="A136" s="28"/>
      <c r="B136" s="28"/>
      <c r="C136" s="28"/>
      <c r="D136" s="28"/>
      <c r="E136" s="28"/>
      <c r="F136" s="28"/>
      <c r="G136" s="28"/>
      <c r="H136" s="28"/>
      <c r="I136" s="28"/>
      <c r="J136" s="49"/>
      <c r="K136" s="49"/>
      <c r="L136" s="49"/>
      <c r="M136" s="49"/>
      <c r="N136" s="49"/>
      <c r="O136" s="49"/>
      <c r="P136" s="49"/>
      <c r="Q136" s="49"/>
      <c r="R136" s="49"/>
    </row>
    <row r="137" spans="1:18" ht="12.75">
      <c r="A137" s="28"/>
      <c r="B137" s="28"/>
      <c r="C137" s="28"/>
      <c r="D137" s="28"/>
      <c r="E137" s="28"/>
      <c r="F137" s="28"/>
      <c r="G137" s="28"/>
      <c r="H137" s="28"/>
      <c r="I137" s="28"/>
      <c r="J137" s="49"/>
      <c r="K137" s="49"/>
      <c r="L137" s="49"/>
      <c r="M137" s="49"/>
      <c r="N137" s="49"/>
      <c r="O137" s="49"/>
      <c r="P137" s="49"/>
      <c r="Q137" s="49"/>
      <c r="R137" s="49"/>
    </row>
    <row r="138" spans="1:18" ht="12">
      <c r="A138" s="28"/>
      <c r="B138" s="28"/>
      <c r="C138" s="28"/>
      <c r="D138" s="28"/>
      <c r="E138" s="28"/>
      <c r="F138" s="28"/>
      <c r="G138" s="28"/>
      <c r="H138" s="28"/>
      <c r="I138" s="28"/>
      <c r="J138" s="49"/>
      <c r="K138" s="49"/>
      <c r="L138" s="49"/>
      <c r="M138" s="49"/>
      <c r="N138" s="49"/>
      <c r="O138" s="49"/>
      <c r="P138" s="49"/>
      <c r="Q138" s="49"/>
      <c r="R138" s="49"/>
    </row>
    <row r="139" spans="1:18" ht="12">
      <c r="A139" s="28"/>
      <c r="B139" s="28"/>
      <c r="C139" s="28"/>
      <c r="D139" s="28"/>
      <c r="E139" s="28"/>
      <c r="F139" s="28"/>
      <c r="G139" s="28"/>
      <c r="H139" s="28"/>
      <c r="I139" s="28"/>
      <c r="J139" s="49"/>
      <c r="K139" s="49"/>
      <c r="L139" s="49"/>
      <c r="M139" s="49"/>
      <c r="N139" s="49"/>
      <c r="O139" s="49"/>
      <c r="P139" s="49"/>
      <c r="Q139" s="49"/>
      <c r="R139" s="49"/>
    </row>
    <row r="140" spans="1:18" ht="12">
      <c r="A140" s="28"/>
      <c r="B140" s="28"/>
      <c r="C140" s="28"/>
      <c r="D140" s="28"/>
      <c r="E140" s="28"/>
      <c r="F140" s="28"/>
      <c r="G140" s="28"/>
      <c r="H140" s="28"/>
      <c r="I140" s="28"/>
      <c r="J140" s="49"/>
      <c r="K140" s="49"/>
      <c r="L140" s="49"/>
      <c r="M140" s="49"/>
      <c r="N140" s="49"/>
      <c r="O140" s="49"/>
      <c r="P140" s="49"/>
      <c r="Q140" s="49"/>
      <c r="R140" s="49"/>
    </row>
    <row r="141" spans="1:18" ht="12">
      <c r="A141" s="28"/>
      <c r="B141" s="28"/>
      <c r="C141" s="28"/>
      <c r="D141" s="28"/>
      <c r="E141" s="28"/>
      <c r="F141" s="28"/>
      <c r="G141" s="28"/>
      <c r="H141" s="28"/>
      <c r="I141" s="28"/>
      <c r="J141" s="49"/>
      <c r="K141" s="49"/>
      <c r="L141" s="49"/>
      <c r="M141" s="49"/>
      <c r="N141" s="49"/>
      <c r="O141" s="49"/>
      <c r="P141" s="49"/>
      <c r="Q141" s="49"/>
      <c r="R141" s="49"/>
    </row>
    <row r="142" spans="1:18" ht="12">
      <c r="A142" s="28"/>
      <c r="B142" s="28"/>
      <c r="C142" s="28"/>
      <c r="D142" s="28"/>
      <c r="E142" s="28"/>
      <c r="F142" s="28"/>
      <c r="G142" s="28"/>
      <c r="H142" s="28"/>
      <c r="I142" s="28"/>
      <c r="J142" s="49"/>
      <c r="K142" s="49"/>
      <c r="L142" s="49"/>
      <c r="M142" s="49"/>
      <c r="N142" s="49"/>
      <c r="O142" s="49"/>
      <c r="P142" s="49"/>
      <c r="Q142" s="49"/>
      <c r="R142" s="49"/>
    </row>
    <row r="143" spans="1:18" ht="12">
      <c r="A143" s="28"/>
      <c r="B143" s="28"/>
      <c r="C143" s="28"/>
      <c r="D143" s="28"/>
      <c r="E143" s="28"/>
      <c r="F143" s="28"/>
      <c r="G143" s="28"/>
      <c r="H143" s="28"/>
      <c r="I143" s="28"/>
      <c r="J143" s="49"/>
      <c r="K143" s="49"/>
      <c r="L143" s="49"/>
      <c r="M143" s="49"/>
      <c r="N143" s="49"/>
      <c r="O143" s="49"/>
      <c r="P143" s="49"/>
      <c r="Q143" s="49"/>
      <c r="R143" s="49"/>
    </row>
    <row r="144" spans="1:18" ht="12">
      <c r="A144" s="28"/>
      <c r="B144" s="28"/>
      <c r="C144" s="28"/>
      <c r="D144" s="28"/>
      <c r="E144" s="28"/>
      <c r="F144" s="28"/>
      <c r="G144" s="28"/>
      <c r="H144" s="28"/>
      <c r="I144" s="28"/>
      <c r="J144" s="49"/>
      <c r="K144" s="49"/>
      <c r="L144" s="49"/>
      <c r="M144" s="49"/>
      <c r="N144" s="49"/>
      <c r="O144" s="49"/>
      <c r="P144" s="49"/>
      <c r="Q144" s="49"/>
      <c r="R144" s="49"/>
    </row>
    <row r="145" spans="1:18" ht="12">
      <c r="A145" s="28"/>
      <c r="B145" s="28"/>
      <c r="C145" s="28"/>
      <c r="D145" s="28"/>
      <c r="E145" s="28"/>
      <c r="F145" s="28"/>
      <c r="G145" s="28"/>
      <c r="H145" s="28"/>
      <c r="I145" s="28"/>
      <c r="J145" s="49"/>
      <c r="K145" s="49"/>
      <c r="L145" s="49"/>
      <c r="M145" s="49"/>
      <c r="N145" s="49"/>
      <c r="O145" s="49"/>
      <c r="P145" s="49"/>
      <c r="Q145" s="49"/>
      <c r="R145" s="49"/>
    </row>
    <row r="146" spans="1:18" ht="12">
      <c r="A146" s="28"/>
      <c r="B146" s="28"/>
      <c r="C146" s="28"/>
      <c r="D146" s="28"/>
      <c r="E146" s="28"/>
      <c r="F146" s="28"/>
      <c r="G146" s="28"/>
      <c r="H146" s="28"/>
      <c r="I146" s="28"/>
      <c r="J146" s="49"/>
      <c r="K146" s="49"/>
      <c r="L146" s="49"/>
      <c r="M146" s="49"/>
      <c r="N146" s="49"/>
      <c r="O146" s="49"/>
      <c r="P146" s="49"/>
      <c r="Q146" s="49"/>
      <c r="R146" s="49"/>
    </row>
    <row r="147" spans="1:18" ht="12">
      <c r="A147" s="28"/>
      <c r="B147" s="28"/>
      <c r="C147" s="28"/>
      <c r="D147" s="28"/>
      <c r="E147" s="28"/>
      <c r="F147" s="28"/>
      <c r="G147" s="28"/>
      <c r="H147" s="28"/>
      <c r="I147" s="28"/>
      <c r="J147" s="49"/>
      <c r="K147" s="49"/>
      <c r="L147" s="49"/>
      <c r="M147" s="49"/>
      <c r="N147" s="49"/>
      <c r="O147" s="49"/>
      <c r="P147" s="49"/>
      <c r="Q147" s="49"/>
      <c r="R147" s="49"/>
    </row>
    <row r="148" spans="1:18" ht="12">
      <c r="A148" s="28"/>
      <c r="B148" s="28"/>
      <c r="C148" s="28"/>
      <c r="D148" s="28"/>
      <c r="E148" s="28"/>
      <c r="F148" s="28"/>
      <c r="G148" s="28"/>
      <c r="H148" s="28"/>
      <c r="I148" s="28"/>
      <c r="J148" s="49"/>
      <c r="K148" s="49"/>
      <c r="L148" s="49"/>
      <c r="M148" s="49"/>
      <c r="N148" s="49"/>
      <c r="O148" s="49"/>
      <c r="P148" s="49"/>
      <c r="Q148" s="49"/>
      <c r="R148" s="49"/>
    </row>
    <row r="149" spans="1:18" ht="12">
      <c r="A149" s="28"/>
      <c r="B149" s="28"/>
      <c r="C149" s="28"/>
      <c r="D149" s="28"/>
      <c r="E149" s="28"/>
      <c r="F149" s="28"/>
      <c r="G149" s="28"/>
      <c r="H149" s="28"/>
      <c r="I149" s="28"/>
      <c r="J149" s="49"/>
      <c r="K149" s="49"/>
      <c r="L149" s="49"/>
      <c r="M149" s="49"/>
      <c r="N149" s="49"/>
      <c r="O149" s="49"/>
      <c r="P149" s="49"/>
      <c r="Q149" s="49"/>
      <c r="R149" s="49"/>
    </row>
    <row r="150" spans="1:18" ht="12">
      <c r="A150" s="28"/>
      <c r="B150" s="28"/>
      <c r="C150" s="28"/>
      <c r="D150" s="28"/>
      <c r="E150" s="28"/>
      <c r="F150" s="28"/>
      <c r="G150" s="28"/>
      <c r="H150" s="28"/>
      <c r="I150" s="28"/>
      <c r="J150" s="49"/>
      <c r="K150" s="49"/>
      <c r="L150" s="49"/>
      <c r="M150" s="49"/>
      <c r="N150" s="49"/>
      <c r="O150" s="49"/>
      <c r="P150" s="49"/>
      <c r="Q150" s="49"/>
      <c r="R150" s="49"/>
    </row>
    <row r="151" spans="1:18" ht="12">
      <c r="A151" s="28"/>
      <c r="B151" s="28"/>
      <c r="C151" s="28"/>
      <c r="D151" s="28"/>
      <c r="E151" s="28"/>
      <c r="F151" s="28"/>
      <c r="G151" s="28"/>
      <c r="H151" s="28"/>
      <c r="I151" s="28"/>
      <c r="J151" s="49"/>
      <c r="K151" s="49"/>
      <c r="L151" s="49"/>
      <c r="M151" s="49"/>
      <c r="N151" s="49"/>
      <c r="O151" s="49"/>
      <c r="P151" s="49"/>
      <c r="Q151" s="49"/>
      <c r="R151" s="49"/>
    </row>
    <row r="152" spans="1:18" ht="12">
      <c r="A152" s="28"/>
      <c r="B152" s="28"/>
      <c r="C152" s="28"/>
      <c r="D152" s="28"/>
      <c r="E152" s="28"/>
      <c r="F152" s="28"/>
      <c r="G152" s="28"/>
      <c r="H152" s="28"/>
      <c r="I152" s="28"/>
      <c r="J152" s="49"/>
      <c r="K152" s="49"/>
      <c r="L152" s="49"/>
      <c r="M152" s="49"/>
      <c r="N152" s="49"/>
      <c r="O152" s="49"/>
      <c r="P152" s="49"/>
      <c r="Q152" s="49"/>
      <c r="R152" s="49"/>
    </row>
    <row r="153" spans="1:18" ht="12">
      <c r="A153" s="28"/>
      <c r="B153" s="28"/>
      <c r="C153" s="28"/>
      <c r="D153" s="28"/>
      <c r="E153" s="28"/>
      <c r="F153" s="28"/>
      <c r="G153" s="28"/>
      <c r="H153" s="28"/>
      <c r="I153" s="28"/>
      <c r="J153" s="49"/>
      <c r="K153" s="49"/>
      <c r="L153" s="49"/>
      <c r="M153" s="49"/>
      <c r="N153" s="49"/>
      <c r="O153" s="49"/>
      <c r="P153" s="49"/>
      <c r="Q153" s="49"/>
      <c r="R153" s="49"/>
    </row>
    <row r="154" spans="1:18" ht="12">
      <c r="A154" s="28"/>
      <c r="B154" s="28"/>
      <c r="C154" s="28"/>
      <c r="D154" s="28"/>
      <c r="E154" s="28"/>
      <c r="F154" s="28"/>
      <c r="G154" s="28"/>
      <c r="H154" s="28"/>
      <c r="I154" s="28"/>
      <c r="J154" s="49"/>
      <c r="K154" s="49"/>
      <c r="L154" s="49"/>
      <c r="M154" s="49"/>
      <c r="N154" s="49"/>
      <c r="O154" s="49"/>
      <c r="P154" s="49"/>
      <c r="Q154" s="49"/>
      <c r="R154" s="49"/>
    </row>
    <row r="155" spans="1:18" ht="12">
      <c r="A155" s="28"/>
      <c r="B155" s="28"/>
      <c r="C155" s="28"/>
      <c r="D155" s="28"/>
      <c r="E155" s="28"/>
      <c r="F155" s="28"/>
      <c r="G155" s="28"/>
      <c r="H155" s="28"/>
      <c r="I155" s="28"/>
      <c r="J155" s="49"/>
      <c r="K155" s="49"/>
      <c r="L155" s="49"/>
      <c r="M155" s="49"/>
      <c r="N155" s="49"/>
      <c r="O155" s="49"/>
      <c r="P155" s="49"/>
      <c r="Q155" s="49"/>
      <c r="R155" s="49"/>
    </row>
    <row r="156" spans="1:18" ht="12">
      <c r="A156" s="28"/>
      <c r="B156" s="28"/>
      <c r="C156" s="28"/>
      <c r="D156" s="28"/>
      <c r="E156" s="28"/>
      <c r="F156" s="28"/>
      <c r="G156" s="28"/>
      <c r="H156" s="28"/>
      <c r="I156" s="28"/>
      <c r="J156" s="49"/>
      <c r="K156" s="49"/>
      <c r="L156" s="49"/>
      <c r="M156" s="49"/>
      <c r="N156" s="49"/>
      <c r="O156" s="49"/>
      <c r="P156" s="49"/>
      <c r="Q156" s="49"/>
      <c r="R156" s="49"/>
    </row>
    <row r="157" spans="1:18" ht="12">
      <c r="A157" s="28"/>
      <c r="B157" s="28"/>
      <c r="C157" s="28"/>
      <c r="D157" s="28"/>
      <c r="E157" s="28"/>
      <c r="F157" s="28"/>
      <c r="G157" s="28"/>
      <c r="H157" s="28"/>
      <c r="I157" s="28"/>
      <c r="J157" s="49"/>
      <c r="K157" s="49"/>
      <c r="L157" s="49"/>
      <c r="M157" s="49"/>
      <c r="N157" s="49"/>
      <c r="O157" s="49"/>
      <c r="P157" s="49"/>
      <c r="Q157" s="49"/>
      <c r="R157" s="49"/>
    </row>
  </sheetData>
  <sheetProtection/>
  <mergeCells count="4">
    <mergeCell ref="B86:D86"/>
    <mergeCell ref="J86:L86"/>
    <mergeCell ref="L16:P16"/>
    <mergeCell ref="D16:I16"/>
  </mergeCells>
  <printOptions/>
  <pageMargins left="0.75" right="0.75" top="1" bottom="1" header="0.5" footer="0.5"/>
  <pageSetup horizontalDpi="300" verticalDpi="300" orientation="portrait" paperSize="9" r:id="rId4"/>
  <ignoredErrors>
    <ignoredError sqref="E98"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Anarchic Systems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Hopkins</dc:creator>
  <cp:keywords/>
  <dc:description/>
  <cp:lastModifiedBy>Will</cp:lastModifiedBy>
  <cp:lastPrinted>2000-04-28T02:26:17Z</cp:lastPrinted>
  <dcterms:created xsi:type="dcterms:W3CDTF">2000-03-28T08:01:44Z</dcterms:created>
  <dcterms:modified xsi:type="dcterms:W3CDTF">2018-04-29T22:21:25Z</dcterms:modified>
  <cp:category/>
  <cp:version/>
  <cp:contentType/>
  <cp:contentStatus/>
</cp:coreProperties>
</file>